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P\SYUNDOU\sono\新しいフォルダー\kyusei\"/>
    </mc:Choice>
  </mc:AlternateContent>
  <xr:revisionPtr revIDLastSave="0" documentId="13_ncr:1_{ECC78683-E23E-4FD7-BA5B-770B74E5D416}" xr6:coauthVersionLast="44" xr6:coauthVersionMax="44" xr10:uidLastSave="{00000000-0000-0000-0000-000000000000}"/>
  <bookViews>
    <workbookView xWindow="-108" yWindow="-108" windowWidth="23256" windowHeight="12576" tabRatio="891" xr2:uid="{00000000-000D-0000-FFFF-FFFF00000000}"/>
  </bookViews>
  <sheets>
    <sheet name="TOP" sheetId="16" r:id="rId1"/>
    <sheet name="九星" sheetId="21" r:id="rId2"/>
    <sheet name="日九星" sheetId="22" r:id="rId3"/>
    <sheet name="二十四節気" sheetId="33" r:id="rId4"/>
    <sheet name="干支" sheetId="31" r:id="rId5"/>
    <sheet name="Sheet1" sheetId="25" r:id="rId6"/>
    <sheet name="日九星 (2)" sheetId="27" r:id="rId7"/>
  </sheets>
  <definedNames>
    <definedName name="_xlnm._FilterDatabase" localSheetId="4" hidden="1">干支!$A$1:$B$61</definedName>
    <definedName name="干支" localSheetId="4">IF(ISNA(MATCH(#REF!,#REF!,)),#REF!,INDEX(#REF!, MATCH(#REF!,#REF!,)))</definedName>
    <definedName name="干支" localSheetId="3">IF(ISNA(MATCH(#REF!,#REF!,)),#REF!,INDEX(#REF!, MATCH(#REF!,#REF!,)))</definedName>
    <definedName name="干支">IF(ISNA(MATCH(#REF!,#REF!,)),#REF!,INDEX(#REF!, MATCH(#REF!,#REF!,)))</definedName>
    <definedName name="旧暦">#REF!</definedName>
    <definedName name="月齢" localSheetId="4">IF(ISNA(MATCH(#REF!,#REF!,)),#REF!,INDEX(#REF!, MATCH(#REF!,#REF!,)))</definedName>
    <definedName name="月齢" localSheetId="3">IF(ISNA(MATCH(#REF!,#REF!,)),#REF!,INDEX(#REF!, MATCH(#REF!,#REF!,)))</definedName>
    <definedName name="月齢" localSheetId="2">IF(ISNA(MATCH(TOP!#REF!,#REF!,)),TOP!#REF!,INDEX(#REF!, MATCH(TOP!#REF!,#REF!,)))</definedName>
    <definedName name="月齢" localSheetId="6">IF(ISNA(MATCH(TOP!#REF!,#REF!,)),TOP!#REF!,INDEX(#REF!, MATCH(TOP!#REF!,#REF!,)))</definedName>
    <definedName name="月齢">IF(ISNA(MATCH(TOP!#REF!,#REF!,)),TOP!#REF!,INDEX(#REF!, MATCH(TOP!#REF!,#REF!,)))</definedName>
    <definedName name="祝日一覧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33" l="1"/>
  <c r="G18" i="33" l="1"/>
  <c r="H18" i="33" s="1"/>
  <c r="G17" i="33" l="1"/>
  <c r="H17" i="33" s="1"/>
  <c r="G8" i="33"/>
  <c r="A8" i="33" s="1"/>
  <c r="I8" i="33" s="1"/>
  <c r="G15" i="33"/>
  <c r="H15" i="33" s="1"/>
  <c r="G16" i="33"/>
  <c r="H16" i="33" s="1"/>
  <c r="G21" i="33"/>
  <c r="A21" i="33" s="1"/>
  <c r="I21" i="33" s="1"/>
  <c r="C35" i="21" s="1"/>
  <c r="G3" i="33"/>
  <c r="H3" i="33" s="1"/>
  <c r="G9" i="33"/>
  <c r="H9" i="33" s="1"/>
  <c r="G10" i="33"/>
  <c r="H10" i="33" s="1"/>
  <c r="G26" i="33"/>
  <c r="H26" i="33" s="1"/>
  <c r="G25" i="33"/>
  <c r="A25" i="33" s="1"/>
  <c r="I25" i="33" s="1"/>
  <c r="C37" i="21" s="1"/>
  <c r="G24" i="33"/>
  <c r="A24" i="33" s="1"/>
  <c r="I24" i="33" s="1"/>
  <c r="G23" i="33"/>
  <c r="H23" i="33" s="1"/>
  <c r="G22" i="33"/>
  <c r="H22" i="33" s="1"/>
  <c r="G5" i="33"/>
  <c r="A5" i="33" s="1"/>
  <c r="G7" i="33"/>
  <c r="A7" i="33" s="1"/>
  <c r="I7" i="33" s="1"/>
  <c r="C28" i="21" s="1"/>
  <c r="A3" i="33"/>
  <c r="I3" i="33" s="1"/>
  <c r="C26" i="21" s="1"/>
  <c r="G4" i="33"/>
  <c r="H4" i="33" s="1"/>
  <c r="G11" i="33"/>
  <c r="H11" i="33" s="1"/>
  <c r="G12" i="33"/>
  <c r="H12" i="33" s="1"/>
  <c r="G13" i="33"/>
  <c r="H13" i="33" s="1"/>
  <c r="A17" i="33"/>
  <c r="I17" i="33" s="1"/>
  <c r="C33" i="21" s="1"/>
  <c r="A18" i="33"/>
  <c r="I18" i="33" s="1"/>
  <c r="G19" i="33"/>
  <c r="H19" i="33" s="1"/>
  <c r="G20" i="33"/>
  <c r="H20" i="33" s="1"/>
  <c r="G6" i="33"/>
  <c r="A6" i="33" s="1"/>
  <c r="I6" i="33" s="1"/>
  <c r="H8" i="33"/>
  <c r="G14" i="33"/>
  <c r="A14" i="33" s="1"/>
  <c r="I14" i="33" s="1"/>
  <c r="H21" i="33"/>
  <c r="A9" i="33" l="1"/>
  <c r="I9" i="33" s="1"/>
  <c r="C29" i="21" s="1"/>
  <c r="A15" i="33"/>
  <c r="I15" i="33" s="1"/>
  <c r="C32" i="21" s="1"/>
  <c r="A19" i="33"/>
  <c r="I19" i="33" s="1"/>
  <c r="C34" i="21" s="1"/>
  <c r="H5" i="33"/>
  <c r="A16" i="33"/>
  <c r="I16" i="33" s="1"/>
  <c r="H24" i="33"/>
  <c r="H25" i="33"/>
  <c r="H6" i="33"/>
  <c r="H14" i="33"/>
  <c r="I5" i="33"/>
  <c r="C27" i="21" s="1"/>
  <c r="B3" i="21"/>
  <c r="B19" i="21"/>
  <c r="A22" i="33"/>
  <c r="I22" i="33" s="1"/>
  <c r="A10" i="33"/>
  <c r="I10" i="33" s="1"/>
  <c r="A4" i="33"/>
  <c r="I4" i="33" s="1"/>
  <c r="A26" i="33"/>
  <c r="I26" i="33" s="1"/>
  <c r="A11" i="33"/>
  <c r="I11" i="33" s="1"/>
  <c r="C30" i="21" s="1"/>
  <c r="H7" i="33"/>
  <c r="A12" i="33"/>
  <c r="I12" i="33" s="1"/>
  <c r="A20" i="33"/>
  <c r="I20" i="33" s="1"/>
  <c r="A23" i="33"/>
  <c r="I23" i="33" s="1"/>
  <c r="C36" i="21" s="1"/>
  <c r="A13" i="33"/>
  <c r="I13" i="33" s="1"/>
  <c r="C31" i="21" s="1"/>
  <c r="D15" i="27" l="1"/>
  <c r="C15" i="27"/>
  <c r="E15" i="27" s="1"/>
  <c r="B15" i="27"/>
  <c r="D14" i="27"/>
  <c r="C14" i="27"/>
  <c r="F14" i="27" s="1"/>
  <c r="B14" i="27"/>
  <c r="D13" i="27"/>
  <c r="C13" i="27"/>
  <c r="F13" i="27" s="1"/>
  <c r="B13" i="27"/>
  <c r="D12" i="27"/>
  <c r="C12" i="27"/>
  <c r="F12" i="27" s="1"/>
  <c r="B12" i="27"/>
  <c r="D11" i="27"/>
  <c r="C11" i="27"/>
  <c r="E11" i="27" s="1"/>
  <c r="B11" i="27"/>
  <c r="D10" i="27"/>
  <c r="C10" i="27"/>
  <c r="F10" i="27" s="1"/>
  <c r="B10" i="27"/>
  <c r="D9" i="27"/>
  <c r="C9" i="27"/>
  <c r="F9" i="27" s="1"/>
  <c r="B9" i="27"/>
  <c r="D8" i="27"/>
  <c r="C8" i="27"/>
  <c r="F8" i="27" s="1"/>
  <c r="B8" i="27"/>
  <c r="D7" i="27"/>
  <c r="C7" i="27"/>
  <c r="E7" i="27" s="1"/>
  <c r="B7" i="27"/>
  <c r="D6" i="27"/>
  <c r="C6" i="27"/>
  <c r="F6" i="27" s="1"/>
  <c r="B6" i="27"/>
  <c r="D5" i="27"/>
  <c r="C5" i="27"/>
  <c r="F5" i="27" s="1"/>
  <c r="B5" i="27"/>
  <c r="D4" i="27"/>
  <c r="C4" i="27"/>
  <c r="F4" i="27" s="1"/>
  <c r="B4" i="27"/>
  <c r="D3" i="27"/>
  <c r="C3" i="27"/>
  <c r="E3" i="27" s="1"/>
  <c r="B3" i="27"/>
  <c r="F3" i="27" l="1"/>
  <c r="E4" i="27"/>
  <c r="G4" i="27" s="1"/>
  <c r="F7" i="27"/>
  <c r="G7" i="27" s="1"/>
  <c r="E8" i="27"/>
  <c r="G8" i="27" s="1"/>
  <c r="F11" i="27"/>
  <c r="G11" i="27" s="1"/>
  <c r="E12" i="27"/>
  <c r="G12" i="27" s="1"/>
  <c r="F15" i="27"/>
  <c r="G15" i="27" s="1"/>
  <c r="E5" i="27"/>
  <c r="G5" i="27" s="1"/>
  <c r="E9" i="27"/>
  <c r="G9" i="27" s="1"/>
  <c r="E13" i="27"/>
  <c r="G13" i="27" s="1"/>
  <c r="E6" i="27"/>
  <c r="G6" i="27" s="1"/>
  <c r="E10" i="27"/>
  <c r="G10" i="27" s="1"/>
  <c r="E14" i="27"/>
  <c r="G14" i="27" s="1"/>
  <c r="A17" i="27"/>
  <c r="H17" i="27" s="1"/>
  <c r="I6" i="27" l="1"/>
  <c r="J6" i="27" s="1"/>
  <c r="K6" i="27" s="1"/>
  <c r="I5" i="27"/>
  <c r="J5" i="27" s="1"/>
  <c r="K5" i="27" s="1"/>
  <c r="I8" i="27"/>
  <c r="J8" i="27" s="1"/>
  <c r="K8" i="27" s="1"/>
  <c r="J13" i="27"/>
  <c r="K13" i="27" s="1"/>
  <c r="I13" i="27"/>
  <c r="I15" i="27"/>
  <c r="J15" i="27" s="1"/>
  <c r="K15" i="27" s="1"/>
  <c r="I7" i="27"/>
  <c r="J7" i="27" s="1"/>
  <c r="K7" i="27" s="1"/>
  <c r="I14" i="27"/>
  <c r="J14" i="27" s="1"/>
  <c r="K14" i="27" s="1"/>
  <c r="I12" i="27"/>
  <c r="J12" i="27" s="1"/>
  <c r="K12" i="27" s="1"/>
  <c r="I4" i="27"/>
  <c r="J4" i="27" s="1"/>
  <c r="K4" i="27" s="1"/>
  <c r="I10" i="27"/>
  <c r="J10" i="27" s="1"/>
  <c r="K10" i="27" s="1"/>
  <c r="I9" i="27"/>
  <c r="J9" i="27" s="1"/>
  <c r="K9" i="27" s="1"/>
  <c r="J11" i="27"/>
  <c r="K11" i="27" s="1"/>
  <c r="I11" i="27"/>
  <c r="G3" i="27"/>
  <c r="C17" i="27"/>
  <c r="D17" i="27"/>
  <c r="B17" i="27"/>
  <c r="B13" i="22"/>
  <c r="B34" i="22"/>
  <c r="T81" i="22" s="1"/>
  <c r="V74" i="22"/>
  <c r="W74" i="22"/>
  <c r="Y74" i="22" s="1"/>
  <c r="X74" i="22"/>
  <c r="E22" i="22" l="1"/>
  <c r="E15" i="22"/>
  <c r="F16" i="22"/>
  <c r="B26" i="22" s="1"/>
  <c r="I3" i="27"/>
  <c r="J3" i="27" s="1"/>
  <c r="K3" i="27" s="1"/>
  <c r="E17" i="27"/>
  <c r="F17" i="27"/>
  <c r="E19" i="22"/>
  <c r="F19" i="22" s="1"/>
  <c r="B29" i="22" s="1"/>
  <c r="F22" i="22"/>
  <c r="E20" i="22"/>
  <c r="F20" i="22" s="1"/>
  <c r="B30" i="22" s="1"/>
  <c r="F15" i="22"/>
  <c r="E17" i="22"/>
  <c r="F17" i="22" s="1"/>
  <c r="B27" i="22" s="1"/>
  <c r="E21" i="22"/>
  <c r="F21" i="22" s="1"/>
  <c r="B31" i="22" s="1"/>
  <c r="E16" i="22"/>
  <c r="E18" i="22"/>
  <c r="F18" i="22" s="1"/>
  <c r="B28" i="22" s="1"/>
  <c r="Z74" i="22"/>
  <c r="AB74" i="22" s="1"/>
  <c r="AC74" i="22" s="1"/>
  <c r="AD74" i="22" s="1"/>
  <c r="AE74" i="22" s="1"/>
  <c r="G17" i="27" l="1"/>
  <c r="G24" i="27" l="1"/>
  <c r="I17" i="27"/>
  <c r="J17" i="27" s="1"/>
  <c r="K17" i="27" s="1"/>
  <c r="G20" i="27"/>
  <c r="V79" i="22" l="1"/>
  <c r="W79" i="22"/>
  <c r="Z79" i="22" s="1"/>
  <c r="X79" i="22"/>
  <c r="X78" i="22"/>
  <c r="W78" i="22"/>
  <c r="Z78" i="22" s="1"/>
  <c r="V78" i="22"/>
  <c r="X77" i="22"/>
  <c r="W77" i="22"/>
  <c r="Z77" i="22" s="1"/>
  <c r="V77" i="22"/>
  <c r="V76" i="22"/>
  <c r="W76" i="22"/>
  <c r="Z76" i="22" s="1"/>
  <c r="X76" i="22"/>
  <c r="V73" i="22"/>
  <c r="W73" i="22"/>
  <c r="Z73" i="22" s="1"/>
  <c r="X73" i="22"/>
  <c r="V72" i="22"/>
  <c r="W72" i="22"/>
  <c r="Z72" i="22" s="1"/>
  <c r="X72" i="22"/>
  <c r="X70" i="22"/>
  <c r="W70" i="22"/>
  <c r="Z70" i="22" s="1"/>
  <c r="V70" i="22"/>
  <c r="X69" i="22"/>
  <c r="W69" i="22"/>
  <c r="Z69" i="22" s="1"/>
  <c r="V69" i="22"/>
  <c r="X68" i="22"/>
  <c r="W68" i="22"/>
  <c r="Y68" i="22" s="1"/>
  <c r="V68" i="22"/>
  <c r="AA81" i="22" l="1"/>
  <c r="Y72" i="22"/>
  <c r="AB72" i="22" s="1"/>
  <c r="AC72" i="22" s="1"/>
  <c r="AD72" i="22" s="1"/>
  <c r="AE72" i="22" s="1"/>
  <c r="Y76" i="22"/>
  <c r="AB76" i="22" s="1"/>
  <c r="Y78" i="22"/>
  <c r="AB78" i="22" s="1"/>
  <c r="AC78" i="22" s="1"/>
  <c r="AD78" i="22" s="1"/>
  <c r="AE78" i="22" s="1"/>
  <c r="Y79" i="22"/>
  <c r="AB79" i="22" s="1"/>
  <c r="AC79" i="22" s="1"/>
  <c r="AD79" i="22" s="1"/>
  <c r="AE79" i="22" s="1"/>
  <c r="Y73" i="22"/>
  <c r="AB73" i="22" s="1"/>
  <c r="AC73" i="22" s="1"/>
  <c r="AD73" i="22" s="1"/>
  <c r="AE73" i="22" s="1"/>
  <c r="W81" i="22"/>
  <c r="Z81" i="22" s="1"/>
  <c r="Y77" i="22"/>
  <c r="AB77" i="22" s="1"/>
  <c r="AC77" i="22" s="1"/>
  <c r="AD77" i="22" s="1"/>
  <c r="AE77" i="22" s="1"/>
  <c r="V75" i="22"/>
  <c r="W75" i="22"/>
  <c r="X75" i="22"/>
  <c r="Z68" i="22"/>
  <c r="Y70" i="22"/>
  <c r="AB70" i="22" s="1"/>
  <c r="AB68" i="22"/>
  <c r="Y69" i="22"/>
  <c r="AB69" i="22" s="1"/>
  <c r="AC69" i="22" s="1"/>
  <c r="AD69" i="22" s="1"/>
  <c r="V67" i="22"/>
  <c r="X67" i="22"/>
  <c r="W67" i="22"/>
  <c r="AC76" i="22" l="1"/>
  <c r="AD76" i="22" s="1"/>
  <c r="AE76" i="22" s="1"/>
  <c r="X81" i="22"/>
  <c r="V81" i="22"/>
  <c r="Y81" i="22"/>
  <c r="Z75" i="22"/>
  <c r="Y75" i="22"/>
  <c r="X71" i="22"/>
  <c r="V71" i="22"/>
  <c r="W71" i="22"/>
  <c r="AC68" i="22"/>
  <c r="AD68" i="22" s="1"/>
  <c r="AE68" i="22" s="1"/>
  <c r="AC70" i="22"/>
  <c r="AD70" i="22" s="1"/>
  <c r="AE70" i="22" s="1"/>
  <c r="AE69" i="22"/>
  <c r="Z67" i="22"/>
  <c r="Y67" i="22"/>
  <c r="AB81" i="22" l="1"/>
  <c r="AC81" i="22" s="1"/>
  <c r="AD81" i="22" s="1"/>
  <c r="AE81" i="22" s="1"/>
  <c r="AB75" i="22"/>
  <c r="AC75" i="22" s="1"/>
  <c r="AD75" i="22" s="1"/>
  <c r="AE75" i="22" s="1"/>
  <c r="Z71" i="22"/>
  <c r="Y71" i="22"/>
  <c r="AB67" i="22"/>
  <c r="AB71" i="22" l="1"/>
  <c r="AC71" i="22" s="1"/>
  <c r="AD71" i="22" s="1"/>
  <c r="AE71" i="22" s="1"/>
  <c r="AC67" i="22"/>
  <c r="AD67" i="22" s="1"/>
  <c r="AE67" i="22" s="1"/>
  <c r="C19" i="21" l="1"/>
  <c r="B7" i="21" l="1"/>
  <c r="B6" i="21"/>
  <c r="C3" i="21"/>
  <c r="E30" i="22" l="1"/>
  <c r="D30" i="22"/>
  <c r="C30" i="22"/>
  <c r="E29" i="22"/>
  <c r="D29" i="22"/>
  <c r="C29" i="22"/>
  <c r="E26" i="22" l="1"/>
  <c r="F27" i="22"/>
  <c r="F30" i="22"/>
  <c r="G30" i="22" s="1"/>
  <c r="H30" i="22" s="1"/>
  <c r="F29" i="22"/>
  <c r="G29" i="22" s="1"/>
  <c r="H29" i="22" s="1"/>
  <c r="D19" i="21"/>
  <c r="B20" i="21" s="1"/>
  <c r="B21" i="21" s="1"/>
  <c r="D27" i="22" l="1"/>
  <c r="E27" i="22"/>
  <c r="C27" i="22"/>
  <c r="D26" i="22"/>
  <c r="F26" i="22"/>
  <c r="G26" i="22" s="1"/>
  <c r="H26" i="22" s="1"/>
  <c r="C26" i="22"/>
  <c r="K30" i="22"/>
  <c r="K29" i="22"/>
  <c r="D31" i="22"/>
  <c r="E31" i="22"/>
  <c r="C31" i="22"/>
  <c r="J29" i="22"/>
  <c r="J30" i="22"/>
  <c r="B23" i="21"/>
  <c r="E28" i="22"/>
  <c r="D28" i="22"/>
  <c r="C28" i="22"/>
  <c r="D3" i="21"/>
  <c r="B5" i="21" s="1"/>
  <c r="K26" i="22" l="1"/>
  <c r="L30" i="22"/>
  <c r="J26" i="22"/>
  <c r="L26" i="22" s="1"/>
  <c r="L29" i="22"/>
  <c r="F31" i="22"/>
  <c r="G31" i="22" s="1"/>
  <c r="H31" i="22" s="1"/>
  <c r="G27" i="22"/>
  <c r="H27" i="22" s="1"/>
  <c r="F28" i="22"/>
  <c r="G28" i="22" s="1"/>
  <c r="H28" i="22" s="1"/>
  <c r="B9" i="21"/>
  <c r="C9" i="21" s="1"/>
  <c r="B11" i="21" s="1"/>
  <c r="B12" i="21" s="1"/>
  <c r="B14" i="21" s="1"/>
  <c r="C3" i="16" s="1"/>
  <c r="B22" i="21"/>
  <c r="K27" i="22" l="1"/>
  <c r="M30" i="22"/>
  <c r="O30" i="22" s="1"/>
  <c r="J28" i="22"/>
  <c r="J27" i="22"/>
  <c r="K31" i="22"/>
  <c r="J31" i="22"/>
  <c r="K28" i="22"/>
  <c r="D26" i="21"/>
  <c r="B39" i="21"/>
  <c r="C4" i="16" s="1"/>
  <c r="D28" i="21"/>
  <c r="D36" i="21"/>
  <c r="D33" i="21"/>
  <c r="D29" i="21"/>
  <c r="D34" i="21"/>
  <c r="D30" i="21"/>
  <c r="D31" i="21"/>
  <c r="D37" i="21"/>
  <c r="D32" i="21"/>
  <c r="D27" i="21"/>
  <c r="D35" i="21"/>
  <c r="L31" i="22" l="1"/>
  <c r="M31" i="22" s="1"/>
  <c r="N31" i="22" s="1"/>
  <c r="L27" i="22"/>
  <c r="M27" i="22" s="1"/>
  <c r="O27" i="22" s="1"/>
  <c r="L28" i="22"/>
  <c r="M29" i="22" s="1"/>
  <c r="N30" i="22"/>
  <c r="N27" i="22" l="1"/>
  <c r="M28" i="22"/>
  <c r="O28" i="22" s="1"/>
  <c r="N29" i="22"/>
  <c r="O29" i="22"/>
  <c r="N28" i="22" l="1"/>
  <c r="C34" i="22" s="1"/>
  <c r="F34" i="22" l="1"/>
  <c r="G34" i="22"/>
  <c r="H34" i="22" s="1"/>
  <c r="I34" i="22" l="1"/>
  <c r="J34" i="22" s="1"/>
  <c r="C5" i="16" s="1"/>
</calcChain>
</file>

<file path=xl/sharedStrings.xml><?xml version="1.0" encoding="utf-8"?>
<sst xmlns="http://schemas.openxmlformats.org/spreadsheetml/2006/main" count="630" uniqueCount="271">
  <si>
    <t>月</t>
    <rPh sb="0" eb="1">
      <t>ツキ</t>
    </rPh>
    <phoneticPr fontId="1"/>
  </si>
  <si>
    <t>日付</t>
    <rPh sb="0" eb="2">
      <t>ヒヅケ</t>
    </rPh>
    <phoneticPr fontId="1"/>
  </si>
  <si>
    <t>日</t>
    <rPh sb="0" eb="1">
      <t>ヒ</t>
    </rPh>
    <phoneticPr fontId="1"/>
  </si>
  <si>
    <t>1月</t>
    <rPh sb="1" eb="2">
      <t>ガツ</t>
    </rPh>
    <phoneticPr fontId="1"/>
  </si>
  <si>
    <t>小寒</t>
  </si>
  <si>
    <t>大寒</t>
  </si>
  <si>
    <t>立春</t>
  </si>
  <si>
    <t>雨水</t>
  </si>
  <si>
    <t>啓蟄</t>
  </si>
  <si>
    <t>春分</t>
  </si>
  <si>
    <t>清明</t>
  </si>
  <si>
    <t>穀雨</t>
  </si>
  <si>
    <t>立夏</t>
  </si>
  <si>
    <t>小満</t>
  </si>
  <si>
    <t>芒種</t>
  </si>
  <si>
    <t>夏至</t>
  </si>
  <si>
    <t>小暑</t>
  </si>
  <si>
    <t>大暑</t>
  </si>
  <si>
    <t>立秋</t>
  </si>
  <si>
    <t>処暑</t>
  </si>
  <si>
    <t>白露</t>
  </si>
  <si>
    <t>秋分</t>
  </si>
  <si>
    <t>寒露</t>
  </si>
  <si>
    <t>霜降</t>
  </si>
  <si>
    <t>立冬</t>
  </si>
  <si>
    <t>小雪</t>
  </si>
  <si>
    <t>大雪</t>
  </si>
  <si>
    <t>冬至</t>
  </si>
  <si>
    <t>年</t>
    <rPh sb="0" eb="1">
      <t>ネン</t>
    </rPh>
    <phoneticPr fontId="1"/>
  </si>
  <si>
    <t>4月</t>
    <rPh sb="1" eb="2">
      <t>ガツ</t>
    </rPh>
    <phoneticPr fontId="1"/>
  </si>
  <si>
    <t>6月</t>
    <rPh sb="1" eb="2">
      <t>ガツ</t>
    </rPh>
    <phoneticPr fontId="1"/>
  </si>
  <si>
    <t>項目</t>
    <rPh sb="0" eb="2">
      <t>コウモク</t>
    </rPh>
    <phoneticPr fontId="1"/>
  </si>
  <si>
    <t>定数1</t>
    <rPh sb="0" eb="2">
      <t>テイスウ</t>
    </rPh>
    <phoneticPr fontId="1"/>
  </si>
  <si>
    <t>定数2</t>
    <rPh sb="0" eb="2">
      <t>テイスウ</t>
    </rPh>
    <phoneticPr fontId="1"/>
  </si>
  <si>
    <t>曜</t>
    <rPh sb="0" eb="1">
      <t>ヨウ</t>
    </rPh>
    <phoneticPr fontId="1"/>
  </si>
  <si>
    <t>番号</t>
    <rPh sb="0" eb="2">
      <t>バンゴウ</t>
    </rPh>
    <phoneticPr fontId="1"/>
  </si>
  <si>
    <t>干支</t>
    <rPh sb="0" eb="2">
      <t>カンシ</t>
    </rPh>
    <phoneticPr fontId="1"/>
  </si>
  <si>
    <t>甲寅</t>
  </si>
  <si>
    <t>乙卯</t>
  </si>
  <si>
    <t>丙辰</t>
  </si>
  <si>
    <t>丁巳</t>
  </si>
  <si>
    <t>甲子</t>
  </si>
  <si>
    <t>乙丑</t>
  </si>
  <si>
    <t>丙寅</t>
  </si>
  <si>
    <t>丁卯</t>
  </si>
  <si>
    <t>戊辰</t>
  </si>
  <si>
    <t>己巳</t>
  </si>
  <si>
    <t>庚午</t>
  </si>
  <si>
    <t>辛未</t>
  </si>
  <si>
    <t>壬申</t>
  </si>
  <si>
    <t>癸酉</t>
  </si>
  <si>
    <t>甲戌</t>
  </si>
  <si>
    <t>乙亥</t>
  </si>
  <si>
    <t>丙子</t>
  </si>
  <si>
    <t>丁丑</t>
  </si>
  <si>
    <t>戊寅</t>
  </si>
  <si>
    <t>己卯</t>
  </si>
  <si>
    <t>庚辰</t>
  </si>
  <si>
    <t>辛巳</t>
  </si>
  <si>
    <t>壬午</t>
  </si>
  <si>
    <t>癸未</t>
  </si>
  <si>
    <t>甲申</t>
  </si>
  <si>
    <t>乙酉</t>
  </si>
  <si>
    <t>丙戌</t>
  </si>
  <si>
    <t>丁亥</t>
  </si>
  <si>
    <t>戊子</t>
  </si>
  <si>
    <t>己丑</t>
  </si>
  <si>
    <t>庚寅</t>
  </si>
  <si>
    <t>辛卯</t>
  </si>
  <si>
    <t>壬辰</t>
  </si>
  <si>
    <t>癸巳</t>
  </si>
  <si>
    <t>甲午</t>
  </si>
  <si>
    <t>乙未</t>
  </si>
  <si>
    <t>丙申</t>
  </si>
  <si>
    <t>丁酉</t>
  </si>
  <si>
    <t>戊戌</t>
  </si>
  <si>
    <t>己亥</t>
  </si>
  <si>
    <t>庚子</t>
  </si>
  <si>
    <t>辛丑</t>
  </si>
  <si>
    <t>壬寅</t>
  </si>
  <si>
    <t>癸卯</t>
  </si>
  <si>
    <t>甲辰</t>
  </si>
  <si>
    <t>乙巳</t>
  </si>
  <si>
    <t>丁未</t>
  </si>
  <si>
    <t>戊申</t>
  </si>
  <si>
    <t>己酉</t>
  </si>
  <si>
    <t>庚戌</t>
  </si>
  <si>
    <t>辛亥</t>
  </si>
  <si>
    <t>壬子</t>
  </si>
  <si>
    <t>癸丑</t>
  </si>
  <si>
    <t>戊午</t>
  </si>
  <si>
    <t>己未</t>
  </si>
  <si>
    <t>庚申</t>
  </si>
  <si>
    <t>辛酉</t>
  </si>
  <si>
    <t>壬戌</t>
  </si>
  <si>
    <t>癸亥</t>
  </si>
  <si>
    <t>南南東</t>
    <rPh sb="0" eb="3">
      <t>ナンナントウ</t>
    </rPh>
    <phoneticPr fontId="1"/>
  </si>
  <si>
    <t>みずのとい</t>
  </si>
  <si>
    <t>北北西</t>
    <rPh sb="0" eb="3">
      <t>ホクホクセイ</t>
    </rPh>
    <phoneticPr fontId="1"/>
  </si>
  <si>
    <t>みずのえいぬ</t>
  </si>
  <si>
    <t>かのととり</t>
  </si>
  <si>
    <t>西南西</t>
    <rPh sb="0" eb="3">
      <t>セイナンセイ</t>
    </rPh>
    <phoneticPr fontId="1"/>
  </si>
  <si>
    <t>かのえさる</t>
  </si>
  <si>
    <t>東北東</t>
    <rPh sb="0" eb="3">
      <t>トウホクトウ</t>
    </rPh>
    <phoneticPr fontId="1"/>
  </si>
  <si>
    <t>つちのとひつじ</t>
  </si>
  <si>
    <t>つちのえうま</t>
  </si>
  <si>
    <t>ひのとみ</t>
  </si>
  <si>
    <t>ひのえたつ</t>
  </si>
  <si>
    <t>きのとう</t>
  </si>
  <si>
    <t>きのえとら</t>
  </si>
  <si>
    <t>みずのとうし</t>
  </si>
  <si>
    <t>みずのえね</t>
  </si>
  <si>
    <t>かのとい</t>
  </si>
  <si>
    <t>かのえいぬ</t>
  </si>
  <si>
    <t>つちのととり</t>
  </si>
  <si>
    <t>つちのえさる</t>
  </si>
  <si>
    <t>ひのとひつじ</t>
  </si>
  <si>
    <t>ひのえうま</t>
  </si>
  <si>
    <t>きのとみ</t>
  </si>
  <si>
    <t>きのえたつ</t>
  </si>
  <si>
    <t>みずのとう</t>
  </si>
  <si>
    <t>みずのえとら</t>
  </si>
  <si>
    <t>かのとうし</t>
  </si>
  <si>
    <t>かのえね</t>
  </si>
  <si>
    <t>つちのとい</t>
  </si>
  <si>
    <t>つちのえいぬ</t>
  </si>
  <si>
    <t>ひのととり</t>
  </si>
  <si>
    <t>ひのえさる</t>
  </si>
  <si>
    <t>きのとひつじ</t>
  </si>
  <si>
    <t>恵方</t>
    <rPh sb="0" eb="2">
      <t>エホウ</t>
    </rPh>
    <phoneticPr fontId="1"/>
  </si>
  <si>
    <t>きのえうま</t>
  </si>
  <si>
    <t>みずのとみ</t>
  </si>
  <si>
    <t>みずのえたつ</t>
  </si>
  <si>
    <t>かのとう</t>
  </si>
  <si>
    <t>かのえとら</t>
  </si>
  <si>
    <t>つちのとうし</t>
  </si>
  <si>
    <t>つちのえね</t>
  </si>
  <si>
    <t>ひのとい</t>
  </si>
  <si>
    <t>ひのえいぬ</t>
  </si>
  <si>
    <t>きのととり</t>
  </si>
  <si>
    <t>きのえさる</t>
  </si>
  <si>
    <t>みずのとひつじ</t>
  </si>
  <si>
    <t>みずのえうま</t>
  </si>
  <si>
    <t>かのとみ</t>
  </si>
  <si>
    <t>かのえたつ</t>
  </si>
  <si>
    <t>つちのとう</t>
  </si>
  <si>
    <t>つちのえとら</t>
  </si>
  <si>
    <t>ひのとうし</t>
  </si>
  <si>
    <t>ひのえね</t>
  </si>
  <si>
    <t>きのとい</t>
  </si>
  <si>
    <t>きのえいぬ</t>
  </si>
  <si>
    <t>みずのととり</t>
  </si>
  <si>
    <t>みずのえさる</t>
  </si>
  <si>
    <t>かのとひつじ</t>
  </si>
  <si>
    <t>かのえうま</t>
  </si>
  <si>
    <t>つちのとみ</t>
  </si>
  <si>
    <t>つちのえたつ</t>
  </si>
  <si>
    <t>ひのとう</t>
  </si>
  <si>
    <t>ひのえとら</t>
  </si>
  <si>
    <t>きのとうし</t>
  </si>
  <si>
    <t>きのえね</t>
  </si>
  <si>
    <t>年</t>
    <phoneticPr fontId="1"/>
  </si>
  <si>
    <t>読み</t>
    <phoneticPr fontId="1"/>
  </si>
  <si>
    <t>干支</t>
    <phoneticPr fontId="1"/>
  </si>
  <si>
    <t>順番</t>
    <rPh sb="0" eb="2">
      <t>ジュンバン</t>
    </rPh>
    <phoneticPr fontId="1"/>
  </si>
  <si>
    <t>子</t>
    <rPh sb="0" eb="1">
      <t>コ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</si>
  <si>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</si>
  <si>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</si>
  <si>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</si>
  <si>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</si>
  <si>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</si>
  <si>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</si>
  <si>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</si>
  <si>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</si>
  <si>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</si>
  <si>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rPh sb="0" eb="1">
      <t>イヌ</t>
    </rPh>
    <phoneticPr fontId="1"/>
  </si>
  <si>
    <t>亥</t>
    <rPh sb="0" eb="1">
      <t>イ</t>
    </rPh>
    <phoneticPr fontId="1"/>
  </si>
  <si>
    <t>一白水星</t>
  </si>
  <si>
    <t>一白水星</t>
    <rPh sb="0" eb="2">
      <t>イッパク</t>
    </rPh>
    <rPh sb="2" eb="4">
      <t>スイセイ</t>
    </rPh>
    <phoneticPr fontId="1"/>
  </si>
  <si>
    <t>二黒土星</t>
  </si>
  <si>
    <t>二黒土星</t>
    <rPh sb="0" eb="1">
      <t>ニ</t>
    </rPh>
    <rPh sb="1" eb="2">
      <t>グロ</t>
    </rPh>
    <rPh sb="2" eb="4">
      <t>ドセイ</t>
    </rPh>
    <phoneticPr fontId="1"/>
  </si>
  <si>
    <t>三碧木星</t>
  </si>
  <si>
    <t>三碧木星</t>
    <rPh sb="0" eb="1">
      <t>サン</t>
    </rPh>
    <rPh sb="1" eb="2">
      <t>ヘキ</t>
    </rPh>
    <rPh sb="2" eb="4">
      <t>モクセイ</t>
    </rPh>
    <phoneticPr fontId="1"/>
  </si>
  <si>
    <t>四録木星</t>
  </si>
  <si>
    <t>四録木星</t>
    <rPh sb="0" eb="1">
      <t>シ</t>
    </rPh>
    <rPh sb="1" eb="2">
      <t>ロク</t>
    </rPh>
    <rPh sb="2" eb="4">
      <t>モクセイ</t>
    </rPh>
    <phoneticPr fontId="1"/>
  </si>
  <si>
    <t>五黄土星</t>
  </si>
  <si>
    <t>五黄土星</t>
    <rPh sb="0" eb="2">
      <t>ゴオウ</t>
    </rPh>
    <rPh sb="2" eb="4">
      <t>ドセイ</t>
    </rPh>
    <phoneticPr fontId="1"/>
  </si>
  <si>
    <t>六白金星</t>
  </si>
  <si>
    <t>六白金星</t>
    <rPh sb="0" eb="2">
      <t>ロッパク</t>
    </rPh>
    <rPh sb="2" eb="4">
      <t>キンセイ</t>
    </rPh>
    <phoneticPr fontId="1"/>
  </si>
  <si>
    <t>七赤金星</t>
  </si>
  <si>
    <t>七赤金星</t>
    <rPh sb="0" eb="2">
      <t>シチセキ</t>
    </rPh>
    <rPh sb="2" eb="4">
      <t>キンセイ</t>
    </rPh>
    <phoneticPr fontId="1"/>
  </si>
  <si>
    <t>八白土星</t>
  </si>
  <si>
    <t>八白土星</t>
    <rPh sb="0" eb="2">
      <t>ハッパク</t>
    </rPh>
    <rPh sb="2" eb="4">
      <t>ドセイ</t>
    </rPh>
    <phoneticPr fontId="1"/>
  </si>
  <si>
    <t>九紫火星</t>
  </si>
  <si>
    <t>九紫火星</t>
    <rPh sb="0" eb="4">
      <t>キュウシカセイ</t>
    </rPh>
    <phoneticPr fontId="1"/>
  </si>
  <si>
    <t>年九星</t>
    <rPh sb="0" eb="1">
      <t>ネン</t>
    </rPh>
    <rPh sb="1" eb="3">
      <t>キュウセイ</t>
    </rPh>
    <phoneticPr fontId="1"/>
  </si>
  <si>
    <t>立春</t>
    <rPh sb="0" eb="2">
      <t>リッシュン</t>
    </rPh>
    <phoneticPr fontId="1"/>
  </si>
  <si>
    <t>月九星</t>
    <rPh sb="0" eb="1">
      <t>ツキ</t>
    </rPh>
    <rPh sb="1" eb="3">
      <t>キュウセイ</t>
    </rPh>
    <phoneticPr fontId="1"/>
  </si>
  <si>
    <t>年干支</t>
    <rPh sb="0" eb="1">
      <t>ネン</t>
    </rPh>
    <rPh sb="1" eb="3">
      <t>カンシ</t>
    </rPh>
    <phoneticPr fontId="1"/>
  </si>
  <si>
    <t>今年の立春</t>
    <rPh sb="0" eb="2">
      <t>コトシ</t>
    </rPh>
    <rPh sb="3" eb="5">
      <t>リッシュン</t>
    </rPh>
    <phoneticPr fontId="1"/>
  </si>
  <si>
    <t>計算用年</t>
    <rPh sb="0" eb="3">
      <t>ケイサンヨウ</t>
    </rPh>
    <rPh sb="3" eb="4">
      <t>ネン</t>
    </rPh>
    <phoneticPr fontId="1"/>
  </si>
  <si>
    <t>計算用月</t>
    <rPh sb="0" eb="3">
      <t>ケイサンヨウ</t>
    </rPh>
    <rPh sb="3" eb="4">
      <t>ツキ</t>
    </rPh>
    <phoneticPr fontId="1"/>
  </si>
  <si>
    <t>計算用日</t>
    <rPh sb="0" eb="3">
      <t>ケイサンヨウ</t>
    </rPh>
    <rPh sb="3" eb="4">
      <t>ヒ</t>
    </rPh>
    <phoneticPr fontId="1"/>
  </si>
  <si>
    <t>年%9</t>
    <rPh sb="0" eb="1">
      <t>ネン</t>
    </rPh>
    <phoneticPr fontId="1"/>
  </si>
  <si>
    <t>余りが0なら9、1なら10にする</t>
    <rPh sb="0" eb="1">
      <t>アマ</t>
    </rPh>
    <phoneticPr fontId="1"/>
  </si>
  <si>
    <t>11-余り</t>
    <rPh sb="3" eb="4">
      <t>アマ</t>
    </rPh>
    <phoneticPr fontId="1"/>
  </si>
  <si>
    <t>日干支</t>
    <rPh sb="0" eb="1">
      <t>ヒ</t>
    </rPh>
    <rPh sb="1" eb="3">
      <t>エト</t>
    </rPh>
    <phoneticPr fontId="1"/>
  </si>
  <si>
    <t>日九星</t>
    <rPh sb="0" eb="1">
      <t>ヒ</t>
    </rPh>
    <rPh sb="1" eb="3">
      <t>キュウセイ</t>
    </rPh>
    <phoneticPr fontId="1"/>
  </si>
  <si>
    <t>冬至</t>
    <rPh sb="0" eb="2">
      <t>トウジ</t>
    </rPh>
    <phoneticPr fontId="1"/>
  </si>
  <si>
    <t>夏至</t>
    <rPh sb="0" eb="2">
      <t>ゲシ</t>
    </rPh>
    <phoneticPr fontId="1"/>
  </si>
  <si>
    <t>年十二支</t>
    <rPh sb="0" eb="1">
      <t>ネン</t>
    </rPh>
    <rPh sb="1" eb="4">
      <t>ジュウニシ</t>
    </rPh>
    <phoneticPr fontId="1"/>
  </si>
  <si>
    <t>計算用年</t>
    <rPh sb="0" eb="3">
      <t>ケイサンヨウ</t>
    </rPh>
    <rPh sb="3" eb="4">
      <t>ネン</t>
    </rPh>
    <phoneticPr fontId="1"/>
  </si>
  <si>
    <t>年十二支</t>
    <rPh sb="0" eb="1">
      <t>トシ</t>
    </rPh>
    <rPh sb="1" eb="4">
      <t>ジュウニシ</t>
    </rPh>
    <phoneticPr fontId="1"/>
  </si>
  <si>
    <t>節月</t>
    <rPh sb="0" eb="1">
      <t>セツ</t>
    </rPh>
    <rPh sb="1" eb="2">
      <t>ツキ</t>
    </rPh>
    <phoneticPr fontId="1"/>
  </si>
  <si>
    <t>三碧木星</t>
    <phoneticPr fontId="1"/>
  </si>
  <si>
    <t>年月日</t>
    <rPh sb="0" eb="3">
      <t>ネンガッピ</t>
    </rPh>
    <phoneticPr fontId="1"/>
  </si>
  <si>
    <t>九星</t>
    <rPh sb="0" eb="2">
      <t>キュウセイ</t>
    </rPh>
    <phoneticPr fontId="1"/>
  </si>
  <si>
    <t>表2　年十二支と節月と九星の関係表</t>
    <rPh sb="0" eb="1">
      <t>ヒョウ</t>
    </rPh>
    <rPh sb="3" eb="4">
      <t>ネン</t>
    </rPh>
    <rPh sb="4" eb="7">
      <t>ジュウニシ</t>
    </rPh>
    <rPh sb="8" eb="9">
      <t>セツ</t>
    </rPh>
    <rPh sb="9" eb="10">
      <t>ツキ</t>
    </rPh>
    <rPh sb="11" eb="12">
      <t>キュウ</t>
    </rPh>
    <rPh sb="12" eb="13">
      <t>セイ</t>
    </rPh>
    <rPh sb="14" eb="16">
      <t>カンケイ</t>
    </rPh>
    <rPh sb="16" eb="17">
      <t>ヒョウ</t>
    </rPh>
    <phoneticPr fontId="1"/>
  </si>
  <si>
    <t>節（せつ）</t>
    <rPh sb="0" eb="1">
      <t>セツ</t>
    </rPh>
    <phoneticPr fontId="1"/>
  </si>
  <si>
    <t>表1　節月、九星一覧</t>
    <rPh sb="0" eb="1">
      <t>ヒョウ</t>
    </rPh>
    <rPh sb="3" eb="4">
      <t>セツ</t>
    </rPh>
    <rPh sb="4" eb="5">
      <t>ツキ</t>
    </rPh>
    <rPh sb="6" eb="8">
      <t>キュウセイ</t>
    </rPh>
    <rPh sb="8" eb="10">
      <t>イチラン</t>
    </rPh>
    <phoneticPr fontId="1"/>
  </si>
  <si>
    <t>年九星</t>
    <rPh sb="0" eb="1">
      <t>ネン</t>
    </rPh>
    <rPh sb="1" eb="3">
      <t>キュウセイ</t>
    </rPh>
    <phoneticPr fontId="1"/>
  </si>
  <si>
    <t>月九星</t>
    <rPh sb="0" eb="1">
      <t>ツキ</t>
    </rPh>
    <rPh sb="1" eb="3">
      <t>キュウセイ</t>
    </rPh>
    <phoneticPr fontId="1"/>
  </si>
  <si>
    <t>日九星</t>
    <rPh sb="0" eb="1">
      <t>ヒ</t>
    </rPh>
    <rPh sb="1" eb="3">
      <t>キュウセイ</t>
    </rPh>
    <phoneticPr fontId="1"/>
  </si>
  <si>
    <t>&lt;30</t>
    <phoneticPr fontId="1"/>
  </si>
  <si>
    <t>&gt;29</t>
    <phoneticPr fontId="1"/>
  </si>
  <si>
    <t>+</t>
    <phoneticPr fontId="1"/>
  </si>
  <si>
    <t>-</t>
    <phoneticPr fontId="1"/>
  </si>
  <si>
    <t>-</t>
    <phoneticPr fontId="1"/>
  </si>
  <si>
    <t>修正ユリウス通日</t>
    <rPh sb="0" eb="2">
      <t>シュウセイ</t>
    </rPh>
    <rPh sb="6" eb="7">
      <t>ツウ</t>
    </rPh>
    <rPh sb="7" eb="8">
      <t>ビ</t>
    </rPh>
    <phoneticPr fontId="1"/>
  </si>
  <si>
    <t>九星</t>
    <rPh sb="0" eb="2">
      <t>キュウセイ</t>
    </rPh>
    <phoneticPr fontId="1"/>
  </si>
  <si>
    <t>冬至と夏至の日付を求める</t>
    <rPh sb="0" eb="2">
      <t>トウジ</t>
    </rPh>
    <rPh sb="3" eb="5">
      <t>ゲシ</t>
    </rPh>
    <rPh sb="9" eb="10">
      <t>モト</t>
    </rPh>
    <phoneticPr fontId="1"/>
  </si>
  <si>
    <t>冬至に最も近い甲子の日を一白として陽遁を初め、夏至の最も近い甲子の日を九紫として陰遁を始める</t>
    <rPh sb="0" eb="2">
      <t>トウジ</t>
    </rPh>
    <rPh sb="3" eb="4">
      <t>モット</t>
    </rPh>
    <rPh sb="5" eb="6">
      <t>チカ</t>
    </rPh>
    <rPh sb="7" eb="9">
      <t>キノエネ</t>
    </rPh>
    <rPh sb="10" eb="11">
      <t>ヒ</t>
    </rPh>
    <rPh sb="12" eb="14">
      <t>イッパク</t>
    </rPh>
    <rPh sb="17" eb="18">
      <t>ヨウ</t>
    </rPh>
    <rPh sb="18" eb="19">
      <t>トン</t>
    </rPh>
    <rPh sb="20" eb="21">
      <t>ハジ</t>
    </rPh>
    <rPh sb="23" eb="25">
      <t>ゲシ</t>
    </rPh>
    <rPh sb="26" eb="27">
      <t>モット</t>
    </rPh>
    <rPh sb="28" eb="29">
      <t>チカ</t>
    </rPh>
    <rPh sb="30" eb="31">
      <t>コウ</t>
    </rPh>
    <rPh sb="31" eb="32">
      <t>シ</t>
    </rPh>
    <rPh sb="33" eb="34">
      <t>ヒ</t>
    </rPh>
    <rPh sb="35" eb="37">
      <t>キュウシ</t>
    </rPh>
    <rPh sb="40" eb="41">
      <t>イン</t>
    </rPh>
    <rPh sb="41" eb="42">
      <t>トン</t>
    </rPh>
    <rPh sb="43" eb="44">
      <t>ハジ</t>
    </rPh>
    <phoneticPr fontId="1"/>
  </si>
  <si>
    <t>2で求めた日付の間隔が180日なら陽遁陰遁を繰り返す。</t>
    <rPh sb="2" eb="3">
      <t>モト</t>
    </rPh>
    <rPh sb="5" eb="7">
      <t>ヒヅケ</t>
    </rPh>
    <rPh sb="8" eb="10">
      <t>カンカク</t>
    </rPh>
    <rPh sb="14" eb="15">
      <t>ニチ</t>
    </rPh>
    <rPh sb="17" eb="18">
      <t>ヨウ</t>
    </rPh>
    <rPh sb="18" eb="19">
      <t>トン</t>
    </rPh>
    <rPh sb="19" eb="20">
      <t>イン</t>
    </rPh>
    <rPh sb="20" eb="21">
      <t>トン</t>
    </rPh>
    <rPh sb="22" eb="23">
      <t>ク</t>
    </rPh>
    <rPh sb="24" eb="25">
      <t>カエ</t>
    </rPh>
    <phoneticPr fontId="1"/>
  </si>
  <si>
    <t>2で求めた日付の間隔 240日なら後半の60日が閏。</t>
    <phoneticPr fontId="1"/>
  </si>
  <si>
    <t>閏の前半30日は前の遁から続き（陽遁なら陽遁、陰遁なら陰遁）、後半30日は逆になる。</t>
    <rPh sb="8" eb="9">
      <t>マエ</t>
    </rPh>
    <rPh sb="10" eb="11">
      <t>トン</t>
    </rPh>
    <rPh sb="13" eb="14">
      <t>ツヅ</t>
    </rPh>
    <rPh sb="16" eb="17">
      <t>ヨウ</t>
    </rPh>
    <rPh sb="17" eb="18">
      <t>トン</t>
    </rPh>
    <rPh sb="20" eb="21">
      <t>ヨウ</t>
    </rPh>
    <rPh sb="21" eb="22">
      <t>トン</t>
    </rPh>
    <rPh sb="23" eb="24">
      <t>イン</t>
    </rPh>
    <rPh sb="24" eb="25">
      <t>トン</t>
    </rPh>
    <rPh sb="27" eb="28">
      <t>イン</t>
    </rPh>
    <rPh sb="28" eb="29">
      <t>トン</t>
    </rPh>
    <rPh sb="35" eb="36">
      <t>ニチ</t>
    </rPh>
    <rPh sb="37" eb="38">
      <t>ギャク</t>
    </rPh>
    <phoneticPr fontId="1"/>
  </si>
  <si>
    <t>閏の切り替えは、夏は三碧、冬は七赤で切り替わる。</t>
    <rPh sb="0" eb="1">
      <t>ウルウ</t>
    </rPh>
    <rPh sb="2" eb="3">
      <t>キ</t>
    </rPh>
    <rPh sb="4" eb="5">
      <t>カ</t>
    </rPh>
    <rPh sb="8" eb="9">
      <t>ナツ</t>
    </rPh>
    <rPh sb="13" eb="14">
      <t>フユ</t>
    </rPh>
    <rPh sb="15" eb="16">
      <t>シチ</t>
    </rPh>
    <rPh sb="16" eb="17">
      <t>アカ</t>
    </rPh>
    <rPh sb="18" eb="19">
      <t>キ</t>
    </rPh>
    <rPh sb="20" eb="21">
      <t>カ</t>
    </rPh>
    <phoneticPr fontId="1"/>
  </si>
  <si>
    <t>干支は修正ユリウス通日に50を足して60で割った余りで求める。
余りが0なら甲子～59なら癸亥になる。</t>
    <rPh sb="0" eb="2">
      <t>エト</t>
    </rPh>
    <rPh sb="3" eb="5">
      <t>シュウセイ</t>
    </rPh>
    <rPh sb="9" eb="10">
      <t>ツウ</t>
    </rPh>
    <rPh sb="10" eb="11">
      <t>ビ</t>
    </rPh>
    <rPh sb="15" eb="16">
      <t>タ</t>
    </rPh>
    <rPh sb="21" eb="22">
      <t>ワ</t>
    </rPh>
    <rPh sb="24" eb="25">
      <t>アマ</t>
    </rPh>
    <rPh sb="27" eb="28">
      <t>モト</t>
    </rPh>
    <rPh sb="32" eb="33">
      <t>アマ</t>
    </rPh>
    <rPh sb="38" eb="39">
      <t>コウ</t>
    </rPh>
    <rPh sb="39" eb="40">
      <t>シ</t>
    </rPh>
    <phoneticPr fontId="1"/>
  </si>
  <si>
    <t>切り替え日</t>
    <rPh sb="0" eb="1">
      <t>キ</t>
    </rPh>
    <rPh sb="2" eb="3">
      <t>カ</t>
    </rPh>
    <rPh sb="4" eb="5">
      <t>ビ</t>
    </rPh>
    <phoneticPr fontId="1"/>
  </si>
  <si>
    <t>間隔</t>
    <rPh sb="0" eb="2">
      <t>カンカク</t>
    </rPh>
    <phoneticPr fontId="1"/>
  </si>
  <si>
    <t>※こよみのページのルールを採用しています。</t>
    <rPh sb="13" eb="15">
      <t>サイヨウ</t>
    </rPh>
    <phoneticPr fontId="1"/>
  </si>
  <si>
    <t>意味</t>
    <rPh sb="0" eb="2">
      <t>イミ</t>
    </rPh>
    <phoneticPr fontId="1"/>
  </si>
  <si>
    <t>基本</t>
    <rPh sb="0" eb="2">
      <t>キホン</t>
    </rPh>
    <phoneticPr fontId="1"/>
  </si>
  <si>
    <t>北</t>
    <rPh sb="0" eb="1">
      <t>キタ</t>
    </rPh>
    <phoneticPr fontId="1"/>
  </si>
  <si>
    <t>南</t>
    <rPh sb="0" eb="1">
      <t>ミナミ</t>
    </rPh>
    <phoneticPr fontId="1"/>
  </si>
  <si>
    <t>東</t>
    <rPh sb="0" eb="1">
      <t>ヒガシ</t>
    </rPh>
    <phoneticPr fontId="1"/>
  </si>
  <si>
    <t>西</t>
    <rPh sb="0" eb="1">
      <t>ニシ</t>
    </rPh>
    <phoneticPr fontId="1"/>
  </si>
  <si>
    <t>四緑木星</t>
    <rPh sb="0" eb="1">
      <t>シ</t>
    </rPh>
    <rPh sb="1" eb="2">
      <t>リョク</t>
    </rPh>
    <rPh sb="2" eb="4">
      <t>モクセイ</t>
    </rPh>
    <phoneticPr fontId="1"/>
  </si>
  <si>
    <t>七赤金星</t>
    <rPh sb="0" eb="1">
      <t>シチ</t>
    </rPh>
    <rPh sb="1" eb="2">
      <t>アカ</t>
    </rPh>
    <rPh sb="2" eb="4">
      <t>キンセイ</t>
    </rPh>
    <phoneticPr fontId="1"/>
  </si>
  <si>
    <t>九紫火星</t>
    <rPh sb="0" eb="1">
      <t>キュウ</t>
    </rPh>
    <rPh sb="1" eb="2">
      <t>ムラサキ</t>
    </rPh>
    <rPh sb="2" eb="4">
      <t>カセイ</t>
    </rPh>
    <phoneticPr fontId="1"/>
  </si>
  <si>
    <t>進化、生物が冬眠に入っている状態</t>
    <rPh sb="0" eb="2">
      <t>シンカ</t>
    </rPh>
    <rPh sb="3" eb="5">
      <t>セイブツ</t>
    </rPh>
    <rPh sb="6" eb="8">
      <t>トウミン</t>
    </rPh>
    <rPh sb="9" eb="10">
      <t>ハイ</t>
    </rPh>
    <rPh sb="14" eb="16">
      <t>ジョウタイ</t>
    </rPh>
    <phoneticPr fontId="1"/>
  </si>
  <si>
    <t>調整、天の恵みを受け生育する状態</t>
    <rPh sb="0" eb="2">
      <t>チョウセイ</t>
    </rPh>
    <rPh sb="3" eb="4">
      <t>テン</t>
    </rPh>
    <rPh sb="5" eb="6">
      <t>メグ</t>
    </rPh>
    <rPh sb="8" eb="9">
      <t>ウ</t>
    </rPh>
    <rPh sb="10" eb="12">
      <t>セイイク</t>
    </rPh>
    <rPh sb="14" eb="16">
      <t>ジョウタイ</t>
    </rPh>
    <phoneticPr fontId="1"/>
  </si>
  <si>
    <t>勇気、気候は春、新しいことに心はずませる状態</t>
    <rPh sb="0" eb="2">
      <t>ユウキ</t>
    </rPh>
    <rPh sb="3" eb="5">
      <t>キコウ</t>
    </rPh>
    <rPh sb="6" eb="7">
      <t>ハル</t>
    </rPh>
    <rPh sb="8" eb="9">
      <t>アタラ</t>
    </rPh>
    <rPh sb="14" eb="15">
      <t>ココロ</t>
    </rPh>
    <rPh sb="20" eb="22">
      <t>ジョウタイ</t>
    </rPh>
    <phoneticPr fontId="1"/>
  </si>
  <si>
    <t>愛、草木が青々と茂る状態</t>
    <rPh sb="0" eb="1">
      <t>アイ</t>
    </rPh>
    <rPh sb="2" eb="4">
      <t>クサキ</t>
    </rPh>
    <rPh sb="5" eb="7">
      <t>アオアオ</t>
    </rPh>
    <rPh sb="8" eb="9">
      <t>シゲ</t>
    </rPh>
    <rPh sb="10" eb="12">
      <t>ジョウタイ</t>
    </rPh>
    <phoneticPr fontId="1"/>
  </si>
  <si>
    <t>悟、草木が満開の状態</t>
    <rPh sb="0" eb="1">
      <t>サト</t>
    </rPh>
    <rPh sb="2" eb="4">
      <t>クサキ</t>
    </rPh>
    <rPh sb="5" eb="7">
      <t>マンカイ</t>
    </rPh>
    <rPh sb="8" eb="10">
      <t>ジョウタイ</t>
    </rPh>
    <phoneticPr fontId="1"/>
  </si>
  <si>
    <t>創造、季節は秋、冬に備える状態</t>
    <rPh sb="0" eb="2">
      <t>ソウゾウ</t>
    </rPh>
    <rPh sb="3" eb="5">
      <t>キセツ</t>
    </rPh>
    <rPh sb="6" eb="7">
      <t>アキ</t>
    </rPh>
    <rPh sb="8" eb="9">
      <t>フユ</t>
    </rPh>
    <rPh sb="10" eb="11">
      <t>ソナ</t>
    </rPh>
    <rPh sb="13" eb="15">
      <t>ジョウタイ</t>
    </rPh>
    <phoneticPr fontId="1"/>
  </si>
  <si>
    <t>信念、実りの秋</t>
    <rPh sb="0" eb="2">
      <t>シンネン</t>
    </rPh>
    <rPh sb="3" eb="4">
      <t>ミノ</t>
    </rPh>
    <rPh sb="6" eb="7">
      <t>アキ</t>
    </rPh>
    <phoneticPr fontId="1"/>
  </si>
  <si>
    <t>希望、冬から春に向かう時期</t>
    <rPh sb="0" eb="2">
      <t>キボウ</t>
    </rPh>
    <rPh sb="3" eb="4">
      <t>フユ</t>
    </rPh>
    <rPh sb="6" eb="7">
      <t>ハル</t>
    </rPh>
    <rPh sb="8" eb="9">
      <t>ム</t>
    </rPh>
    <rPh sb="11" eb="13">
      <t>ジキ</t>
    </rPh>
    <phoneticPr fontId="1"/>
  </si>
  <si>
    <t>純粋、太陽が南に登った状態</t>
    <rPh sb="0" eb="2">
      <t>ジュンスイ</t>
    </rPh>
    <rPh sb="3" eb="5">
      <t>タイヨウ</t>
    </rPh>
    <rPh sb="6" eb="7">
      <t>ミナミ</t>
    </rPh>
    <rPh sb="8" eb="9">
      <t>ノボ</t>
    </rPh>
    <rPh sb="11" eb="13">
      <t>ジョウタイ</t>
    </rPh>
    <phoneticPr fontId="1"/>
  </si>
  <si>
    <t>http://koyomi8.com/sub/9sei.htm</t>
    <phoneticPr fontId="1"/>
  </si>
  <si>
    <t>月が1、2なら1、それ以外は0</t>
    <rPh sb="0" eb="1">
      <t>ツキ</t>
    </rPh>
    <rPh sb="11" eb="13">
      <t>イガイ</t>
    </rPh>
    <phoneticPr fontId="1"/>
  </si>
  <si>
    <t>月が1、2なら12、それ以外は0</t>
    <rPh sb="0" eb="1">
      <t>ツキ</t>
    </rPh>
    <rPh sb="12" eb="14">
      <t>イガイ</t>
    </rPh>
    <phoneticPr fontId="1"/>
  </si>
  <si>
    <t>辛丑</t>
    <phoneticPr fontId="1"/>
  </si>
  <si>
    <t>丙午</t>
    <phoneticPr fontId="1"/>
  </si>
  <si>
    <t>丙午</t>
    <phoneticPr fontId="1"/>
  </si>
  <si>
    <t>癸亥</t>
    <phoneticPr fontId="1"/>
  </si>
  <si>
    <t>3月</t>
    <phoneticPr fontId="1"/>
  </si>
  <si>
    <t>8月</t>
    <phoneticPr fontId="1"/>
  </si>
  <si>
    <t>9月</t>
    <phoneticPr fontId="1"/>
  </si>
  <si>
    <t>10月</t>
    <phoneticPr fontId="1"/>
  </si>
  <si>
    <t>11月</t>
    <phoneticPr fontId="1"/>
  </si>
  <si>
    <t>12月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</si>
</sst>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aaa"/>
    <numFmt numFmtId="177" formatCode="yyyy&quot;年&quot;\ m&quot;月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AR Pゴシック体S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176" fontId="3" fillId="0" borderId="1" xfId="0" applyNumberFormat="1" applyFont="1" applyBorder="1">
      <alignment vertical="center"/>
    </xf>
    <xf numFmtId="0" fontId="3" fillId="0" borderId="1" xfId="0" applyFont="1" applyFill="1" applyBorder="1">
      <alignment vertical="center"/>
    </xf>
    <xf numFmtId="14" fontId="3" fillId="0" borderId="1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14" fontId="3" fillId="0" borderId="0" xfId="0" applyNumberFormat="1" applyFont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top" wrapText="1"/>
    </xf>
    <xf numFmtId="1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177" fontId="5" fillId="0" borderId="0" xfId="0" applyNumberFormat="1" applyFont="1" applyAlignment="1">
      <alignment horizontal="center" vertical="center"/>
    </xf>
    <xf numFmtId="14" fontId="7" fillId="0" borderId="0" xfId="0" applyNumberFormat="1" applyFont="1">
      <alignment vertical="center"/>
    </xf>
    <xf numFmtId="14" fontId="0" fillId="0" borderId="0" xfId="0" applyNumberFormat="1" applyBorder="1">
      <alignment vertical="center"/>
    </xf>
    <xf numFmtId="14" fontId="0" fillId="0" borderId="0" xfId="0" applyNumberFormat="1" applyFill="1">
      <alignment vertical="center"/>
    </xf>
    <xf numFmtId="0" fontId="0" fillId="0" borderId="0" xfId="0" applyNumberFormat="1" applyBorder="1">
      <alignment vertical="center"/>
    </xf>
    <xf numFmtId="14" fontId="3" fillId="0" borderId="0" xfId="0" applyNumberFormat="1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NumberFormat="1" applyFont="1">
      <alignment vertical="center"/>
    </xf>
    <xf numFmtId="0" fontId="3" fillId="0" borderId="1" xfId="0" applyFont="1" applyBorder="1" applyAlignment="1">
      <alignment vertical="center"/>
    </xf>
    <xf numFmtId="14" fontId="0" fillId="0" borderId="0" xfId="0" applyNumberFormat="1" applyAlignment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Alignment="1">
      <alignment horizontal="center" vertical="center" shrinkToFit="1"/>
    </xf>
    <xf numFmtId="14" fontId="3" fillId="0" borderId="1" xfId="0" applyNumberFormat="1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CCCC"/>
      <color rgb="FF005A9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6"/>
  <sheetViews>
    <sheetView tabSelected="1" zoomScaleNormal="100" workbookViewId="0">
      <selection activeCell="N16" sqref="N16"/>
    </sheetView>
  </sheetViews>
  <sheetFormatPr defaultColWidth="9" defaultRowHeight="14.4" x14ac:dyDescent="0.2"/>
  <cols>
    <col min="1" max="1" width="4.88671875" style="26" customWidth="1"/>
    <col min="2" max="2" width="11.6640625" style="26" bestFit="1" customWidth="1"/>
    <col min="3" max="3" width="13.33203125" style="26" customWidth="1"/>
    <col min="4" max="5" width="16.6640625" style="26" customWidth="1"/>
    <col min="6" max="6" width="7.33203125" style="26" customWidth="1"/>
    <col min="7" max="7" width="6.6640625" style="26" customWidth="1"/>
    <col min="8" max="8" width="10.77734375" style="26" customWidth="1"/>
    <col min="9" max="9" width="11.6640625" style="26" bestFit="1" customWidth="1"/>
    <col min="10" max="16384" width="9" style="26"/>
  </cols>
  <sheetData>
    <row r="1" spans="2:9" x14ac:dyDescent="0.2">
      <c r="B1" s="24">
        <v>42395</v>
      </c>
      <c r="C1" s="25"/>
    </row>
    <row r="2" spans="2:9" ht="15" x14ac:dyDescent="0.2">
      <c r="C2" s="23"/>
      <c r="D2" s="23"/>
      <c r="E2" s="23"/>
      <c r="F2" s="27"/>
      <c r="I2" s="28"/>
    </row>
    <row r="3" spans="2:9" ht="15" x14ac:dyDescent="0.2">
      <c r="B3" s="26" t="s">
        <v>220</v>
      </c>
      <c r="C3" s="23" t="str">
        <f>九星!B14</f>
        <v>三碧木星</v>
      </c>
      <c r="D3" s="23"/>
      <c r="E3" s="23"/>
      <c r="F3" s="27"/>
      <c r="I3" s="28"/>
    </row>
    <row r="4" spans="2:9" x14ac:dyDescent="0.2">
      <c r="B4" s="26" t="s">
        <v>221</v>
      </c>
      <c r="C4" s="23" t="str">
        <f>九星!B39</f>
        <v>三碧木星</v>
      </c>
      <c r="D4" s="23"/>
      <c r="E4" s="23"/>
      <c r="I4" s="28"/>
    </row>
    <row r="5" spans="2:9" ht="13.5" customHeight="1" x14ac:dyDescent="0.2">
      <c r="B5" s="26" t="s">
        <v>222</v>
      </c>
      <c r="C5" s="23" t="str">
        <f>日九星!J34</f>
        <v>八白土星</v>
      </c>
      <c r="D5" s="23"/>
      <c r="E5" s="23"/>
      <c r="I5" s="28"/>
    </row>
    <row r="6" spans="2:9" ht="13.5" customHeight="1" x14ac:dyDescent="0.2">
      <c r="C6" s="23"/>
      <c r="D6" s="23"/>
      <c r="E6" s="23"/>
      <c r="I6" s="28"/>
    </row>
    <row r="7" spans="2:9" ht="13.5" customHeight="1" x14ac:dyDescent="0.2">
      <c r="C7" s="23"/>
      <c r="D7" s="23"/>
      <c r="E7" s="23"/>
      <c r="I7" s="28"/>
    </row>
    <row r="8" spans="2:9" ht="13.5" customHeight="1" x14ac:dyDescent="0.2">
      <c r="C8" s="23"/>
      <c r="D8" s="23"/>
      <c r="E8" s="23"/>
      <c r="I8" s="28"/>
    </row>
    <row r="9" spans="2:9" ht="13.5" customHeight="1" x14ac:dyDescent="0.2">
      <c r="C9" s="23"/>
      <c r="D9" s="23"/>
      <c r="E9" s="23"/>
      <c r="I9" s="28"/>
    </row>
    <row r="10" spans="2:9" x14ac:dyDescent="0.2">
      <c r="I10" s="28"/>
    </row>
    <row r="11" spans="2:9" x14ac:dyDescent="0.2">
      <c r="I11" s="28"/>
    </row>
    <row r="12" spans="2:9" x14ac:dyDescent="0.2">
      <c r="I12" s="28"/>
    </row>
    <row r="13" spans="2:9" x14ac:dyDescent="0.2">
      <c r="I13" s="28"/>
    </row>
    <row r="14" spans="2:9" x14ac:dyDescent="0.2">
      <c r="I14" s="28"/>
    </row>
    <row r="15" spans="2:9" x14ac:dyDescent="0.2">
      <c r="I15" s="28"/>
    </row>
    <row r="16" spans="2:9" x14ac:dyDescent="0.2">
      <c r="I16" s="28"/>
    </row>
    <row r="17" spans="9:9" x14ac:dyDescent="0.2">
      <c r="I17" s="28"/>
    </row>
    <row r="18" spans="9:9" x14ac:dyDescent="0.2">
      <c r="I18" s="28"/>
    </row>
    <row r="19" spans="9:9" x14ac:dyDescent="0.2">
      <c r="I19" s="28"/>
    </row>
    <row r="20" spans="9:9" x14ac:dyDescent="0.2">
      <c r="I20" s="28"/>
    </row>
    <row r="21" spans="9:9" x14ac:dyDescent="0.2">
      <c r="I21" s="28"/>
    </row>
    <row r="22" spans="9:9" x14ac:dyDescent="0.2">
      <c r="I22" s="28"/>
    </row>
    <row r="23" spans="9:9" x14ac:dyDescent="0.2">
      <c r="I23" s="28"/>
    </row>
    <row r="24" spans="9:9" x14ac:dyDescent="0.2">
      <c r="I24" s="28"/>
    </row>
    <row r="25" spans="9:9" x14ac:dyDescent="0.2">
      <c r="I25" s="28"/>
    </row>
    <row r="26" spans="9:9" x14ac:dyDescent="0.2">
      <c r="I26" s="28"/>
    </row>
    <row r="27" spans="9:9" x14ac:dyDescent="0.2">
      <c r="I27" s="28"/>
    </row>
    <row r="28" spans="9:9" x14ac:dyDescent="0.2">
      <c r="I28" s="28"/>
    </row>
    <row r="29" spans="9:9" x14ac:dyDescent="0.2">
      <c r="I29" s="28"/>
    </row>
    <row r="30" spans="9:9" x14ac:dyDescent="0.2">
      <c r="I30" s="28"/>
    </row>
    <row r="31" spans="9:9" x14ac:dyDescent="0.2">
      <c r="I31" s="28"/>
    </row>
    <row r="32" spans="9:9" x14ac:dyDescent="0.2">
      <c r="I32" s="28"/>
    </row>
    <row r="33" spans="9:9" x14ac:dyDescent="0.2">
      <c r="I33" s="28"/>
    </row>
    <row r="34" spans="9:9" x14ac:dyDescent="0.2">
      <c r="I34" s="28"/>
    </row>
    <row r="35" spans="9:9" x14ac:dyDescent="0.2">
      <c r="I35" s="28"/>
    </row>
    <row r="36" spans="9:9" x14ac:dyDescent="0.2">
      <c r="I36" s="2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7"/>
  <sheetViews>
    <sheetView workbookViewId="0">
      <selection activeCell="B3" sqref="B3"/>
    </sheetView>
  </sheetViews>
  <sheetFormatPr defaultRowHeight="13.2" x14ac:dyDescent="0.2"/>
  <cols>
    <col min="1" max="1" width="8.88671875" customWidth="1"/>
    <col min="2" max="3" width="11.6640625" bestFit="1" customWidth="1"/>
    <col min="4" max="5" width="9" bestFit="1" customWidth="1"/>
    <col min="6" max="6" width="8.6640625" customWidth="1"/>
    <col min="7" max="7" width="4.6640625" customWidth="1"/>
    <col min="8" max="8" width="4.44140625" customWidth="1"/>
    <col min="9" max="9" width="5" customWidth="1"/>
    <col min="10" max="10" width="4.6640625" customWidth="1"/>
    <col min="11" max="11" width="4.88671875" customWidth="1"/>
    <col min="12" max="18" width="5.21875" bestFit="1" customWidth="1"/>
    <col min="19" max="19" width="5.88671875" customWidth="1"/>
  </cols>
  <sheetData>
    <row r="1" spans="1:8" ht="16.8" thickBot="1" x14ac:dyDescent="0.25">
      <c r="A1" s="48" t="s">
        <v>195</v>
      </c>
      <c r="B1" s="48"/>
      <c r="C1" s="48"/>
      <c r="D1" s="48"/>
      <c r="E1" s="48"/>
      <c r="F1" s="48"/>
      <c r="G1" s="48"/>
      <c r="H1" s="48"/>
    </row>
    <row r="2" spans="1:8" ht="13.8" thickTop="1" x14ac:dyDescent="0.2">
      <c r="A2" s="12"/>
      <c r="B2" s="12" t="s">
        <v>199</v>
      </c>
      <c r="C2" s="12" t="s">
        <v>1</v>
      </c>
      <c r="D2" s="12"/>
      <c r="E2" s="12"/>
      <c r="F2" s="12"/>
      <c r="G2" s="12"/>
    </row>
    <row r="3" spans="1:8" x14ac:dyDescent="0.2">
      <c r="A3" t="s">
        <v>196</v>
      </c>
      <c r="B3" s="1">
        <f>二十四節気!A5</f>
        <v>42404</v>
      </c>
      <c r="C3" s="1">
        <f>TOP!B1</f>
        <v>42395</v>
      </c>
      <c r="D3">
        <f>IF(C3&lt;B3,1,0)</f>
        <v>1</v>
      </c>
    </row>
    <row r="5" spans="1:8" x14ac:dyDescent="0.2">
      <c r="A5" t="s">
        <v>200</v>
      </c>
      <c r="B5" s="2">
        <f>YEAR(TOP!B1)-D3</f>
        <v>2015</v>
      </c>
      <c r="D5">
        <v>1</v>
      </c>
      <c r="E5" t="s">
        <v>178</v>
      </c>
    </row>
    <row r="6" spans="1:8" x14ac:dyDescent="0.2">
      <c r="A6" t="s">
        <v>201</v>
      </c>
      <c r="B6">
        <f>MONTH(TOP!B1)</f>
        <v>1</v>
      </c>
      <c r="D6">
        <v>2</v>
      </c>
      <c r="E6" t="s">
        <v>180</v>
      </c>
    </row>
    <row r="7" spans="1:8" x14ac:dyDescent="0.2">
      <c r="A7" t="s">
        <v>202</v>
      </c>
      <c r="B7">
        <f>DAY(TOP!B1)</f>
        <v>26</v>
      </c>
      <c r="D7">
        <v>3</v>
      </c>
      <c r="E7" t="s">
        <v>182</v>
      </c>
    </row>
    <row r="8" spans="1:8" x14ac:dyDescent="0.2">
      <c r="D8">
        <v>4</v>
      </c>
      <c r="E8" t="s">
        <v>184</v>
      </c>
    </row>
    <row r="9" spans="1:8" x14ac:dyDescent="0.2">
      <c r="A9" t="s">
        <v>203</v>
      </c>
      <c r="B9">
        <f>MOD(B5,9)</f>
        <v>8</v>
      </c>
      <c r="C9">
        <f>IF(B9&lt;2,9,0)</f>
        <v>0</v>
      </c>
      <c r="D9">
        <v>5</v>
      </c>
      <c r="E9" t="s">
        <v>186</v>
      </c>
    </row>
    <row r="10" spans="1:8" x14ac:dyDescent="0.2">
      <c r="A10" t="s">
        <v>204</v>
      </c>
      <c r="D10">
        <v>6</v>
      </c>
      <c r="E10" t="s">
        <v>188</v>
      </c>
    </row>
    <row r="11" spans="1:8" x14ac:dyDescent="0.2">
      <c r="B11">
        <f>B9+C9</f>
        <v>8</v>
      </c>
      <c r="D11">
        <v>7</v>
      </c>
      <c r="E11" t="s">
        <v>190</v>
      </c>
    </row>
    <row r="12" spans="1:8" x14ac:dyDescent="0.2">
      <c r="A12" t="s">
        <v>205</v>
      </c>
      <c r="B12">
        <f>11-B11</f>
        <v>3</v>
      </c>
      <c r="D12">
        <v>8</v>
      </c>
      <c r="E12" t="s">
        <v>192</v>
      </c>
    </row>
    <row r="13" spans="1:8" ht="13.8" thickBot="1" x14ac:dyDescent="0.25">
      <c r="D13">
        <v>9</v>
      </c>
      <c r="E13" t="s">
        <v>194</v>
      </c>
    </row>
    <row r="14" spans="1:8" ht="13.8" thickBot="1" x14ac:dyDescent="0.25">
      <c r="A14" s="15" t="s">
        <v>195</v>
      </c>
      <c r="B14" s="14" t="str">
        <f>VLOOKUP(B12,D5:E13,2,FALSE)</f>
        <v>三碧木星</v>
      </c>
    </row>
    <row r="16" spans="1:8" ht="12.75" customHeight="1" x14ac:dyDescent="0.2"/>
    <row r="17" spans="1:18" ht="16.8" thickBot="1" x14ac:dyDescent="0.25">
      <c r="A17" s="48" t="s">
        <v>197</v>
      </c>
      <c r="B17" s="48"/>
      <c r="C17" s="48"/>
      <c r="D17" s="48"/>
      <c r="E17" s="48"/>
      <c r="F17" s="48"/>
      <c r="G17" s="48"/>
      <c r="H17" s="48"/>
    </row>
    <row r="18" spans="1:18" ht="16.8" thickTop="1" x14ac:dyDescent="0.2">
      <c r="A18" s="12"/>
      <c r="B18" s="12" t="s">
        <v>199</v>
      </c>
      <c r="C18" s="12" t="s">
        <v>1</v>
      </c>
      <c r="D18" s="12"/>
      <c r="E18" s="22"/>
      <c r="F18" s="22"/>
      <c r="G18" s="22"/>
      <c r="H18" s="22"/>
    </row>
    <row r="19" spans="1:18" ht="16.2" x14ac:dyDescent="0.2">
      <c r="A19" t="s">
        <v>196</v>
      </c>
      <c r="B19" s="1">
        <f>二十四節気!A5</f>
        <v>42404</v>
      </c>
      <c r="C19" s="1">
        <f>TOP!B1</f>
        <v>42395</v>
      </c>
      <c r="D19">
        <f>IF(C19&lt;B19,1,0)</f>
        <v>1</v>
      </c>
      <c r="E19" s="22"/>
      <c r="F19" s="22"/>
      <c r="G19" s="22"/>
      <c r="H19" s="22"/>
    </row>
    <row r="20" spans="1:18" ht="16.2" x14ac:dyDescent="0.2">
      <c r="A20" t="s">
        <v>211</v>
      </c>
      <c r="B20" s="2">
        <f>YEAR(TOP!B1)-D19</f>
        <v>2015</v>
      </c>
      <c r="C20" s="1"/>
      <c r="E20" s="22"/>
      <c r="F20" s="22"/>
      <c r="G20" s="22"/>
      <c r="H20" s="22"/>
    </row>
    <row r="21" spans="1:18" x14ac:dyDescent="0.2">
      <c r="A21" t="s">
        <v>198</v>
      </c>
      <c r="B21" t="str">
        <f>VLOOKUP($B$20,干支!D2:F68,3,FALSE)</f>
        <v>乙未</v>
      </c>
    </row>
    <row r="22" spans="1:18" x14ac:dyDescent="0.2">
      <c r="A22" t="s">
        <v>212</v>
      </c>
      <c r="B22" t="str">
        <f>RIGHT(B21,1)</f>
        <v>未</v>
      </c>
    </row>
    <row r="23" spans="1:18" x14ac:dyDescent="0.2">
      <c r="A23" t="s">
        <v>213</v>
      </c>
      <c r="B23" s="2">
        <f>IF(C19&lt;C26,11,IF(C19&lt;C27,12,IF(C19&lt;C28,1,IF(C19&lt;C29,2,IF(C19&lt;C30,3,IF(C19&lt;C31,4,IF(C19&lt;C32,5,IF(C19&lt;C33,6,IF(C19&lt;C34,7,IF(C19&lt;C35,8,IF(C19&lt;C36,9,IF(C19&lt;C37,10,11))))))))))))</f>
        <v>12</v>
      </c>
    </row>
    <row r="24" spans="1:18" x14ac:dyDescent="0.2">
      <c r="A24" t="s">
        <v>219</v>
      </c>
      <c r="F24" t="s">
        <v>217</v>
      </c>
    </row>
    <row r="25" spans="1:18" ht="26.4" x14ac:dyDescent="0.2">
      <c r="A25" s="17" t="s">
        <v>213</v>
      </c>
      <c r="B25" s="17" t="s">
        <v>218</v>
      </c>
      <c r="C25" s="17" t="s">
        <v>215</v>
      </c>
      <c r="D25" s="17" t="s">
        <v>216</v>
      </c>
      <c r="F25" s="21" t="s">
        <v>210</v>
      </c>
      <c r="G25" s="17">
        <v>1</v>
      </c>
      <c r="H25" s="17">
        <v>2</v>
      </c>
      <c r="I25" s="17">
        <v>3</v>
      </c>
      <c r="J25" s="17">
        <v>4</v>
      </c>
      <c r="K25" s="17">
        <v>5</v>
      </c>
      <c r="L25" s="17">
        <v>6</v>
      </c>
      <c r="M25" s="17">
        <v>7</v>
      </c>
      <c r="N25" s="17">
        <v>8</v>
      </c>
      <c r="O25" s="17">
        <v>9</v>
      </c>
      <c r="P25" s="17">
        <v>10</v>
      </c>
      <c r="Q25" s="17">
        <v>11</v>
      </c>
      <c r="R25" s="17">
        <v>12</v>
      </c>
    </row>
    <row r="26" spans="1:18" ht="52.8" x14ac:dyDescent="0.2">
      <c r="A26" s="16">
        <v>12</v>
      </c>
      <c r="B26" s="5" t="s">
        <v>4</v>
      </c>
      <c r="C26" s="18">
        <f>VLOOKUP(B26,二十四節気!$C$3:$I$26,7,FALSE)</f>
        <v>42375</v>
      </c>
      <c r="D26" s="16" t="str">
        <f t="shared" ref="D26:D37" si="0">INDEX($G$26:$R$37,MATCH($B$22,$F$26:$F$37,0),MATCH($A26,$G$25:$R$25,0))</f>
        <v>三碧木星</v>
      </c>
      <c r="F26" s="16" t="s">
        <v>165</v>
      </c>
      <c r="G26" s="21" t="s">
        <v>191</v>
      </c>
      <c r="H26" s="21" t="s">
        <v>189</v>
      </c>
      <c r="I26" s="21" t="s">
        <v>187</v>
      </c>
      <c r="J26" s="21" t="s">
        <v>185</v>
      </c>
      <c r="K26" s="21" t="s">
        <v>183</v>
      </c>
      <c r="L26" s="21" t="s">
        <v>181</v>
      </c>
      <c r="M26" s="21" t="s">
        <v>179</v>
      </c>
      <c r="N26" s="21" t="s">
        <v>177</v>
      </c>
      <c r="O26" s="21" t="s">
        <v>193</v>
      </c>
      <c r="P26" s="21" t="s">
        <v>191</v>
      </c>
      <c r="Q26" s="21" t="s">
        <v>189</v>
      </c>
      <c r="R26" s="21" t="s">
        <v>187</v>
      </c>
    </row>
    <row r="27" spans="1:18" ht="52.8" x14ac:dyDescent="0.2">
      <c r="A27" s="16">
        <v>1</v>
      </c>
      <c r="B27" s="5" t="s">
        <v>6</v>
      </c>
      <c r="C27" s="18">
        <f>VLOOKUP(B27,二十四節気!$C$3:$I$26,7,FALSE)</f>
        <v>42404</v>
      </c>
      <c r="D27" s="16" t="str">
        <f t="shared" si="0"/>
        <v>五黄土星</v>
      </c>
      <c r="F27" s="16" t="s">
        <v>166</v>
      </c>
      <c r="G27" s="21" t="s">
        <v>185</v>
      </c>
      <c r="H27" s="21" t="s">
        <v>183</v>
      </c>
      <c r="I27" s="21" t="s">
        <v>181</v>
      </c>
      <c r="J27" s="21" t="s">
        <v>179</v>
      </c>
      <c r="K27" s="21" t="s">
        <v>177</v>
      </c>
      <c r="L27" s="21" t="s">
        <v>193</v>
      </c>
      <c r="M27" s="21" t="s">
        <v>191</v>
      </c>
      <c r="N27" s="21" t="s">
        <v>189</v>
      </c>
      <c r="O27" s="21" t="s">
        <v>187</v>
      </c>
      <c r="P27" s="21" t="s">
        <v>185</v>
      </c>
      <c r="Q27" s="21" t="s">
        <v>183</v>
      </c>
      <c r="R27" s="21" t="s">
        <v>181</v>
      </c>
    </row>
    <row r="28" spans="1:18" ht="52.8" x14ac:dyDescent="0.2">
      <c r="A28" s="16">
        <v>2</v>
      </c>
      <c r="B28" s="5" t="s">
        <v>8</v>
      </c>
      <c r="C28" s="18">
        <f>VLOOKUP(B28,二十四節気!$C$3:$I$26,7,FALSE)</f>
        <v>42434</v>
      </c>
      <c r="D28" s="16" t="str">
        <f t="shared" si="0"/>
        <v>四録木星</v>
      </c>
      <c r="F28" s="16" t="s">
        <v>167</v>
      </c>
      <c r="G28" s="21" t="s">
        <v>179</v>
      </c>
      <c r="H28" s="21" t="s">
        <v>177</v>
      </c>
      <c r="I28" s="21" t="s">
        <v>193</v>
      </c>
      <c r="J28" s="21" t="s">
        <v>191</v>
      </c>
      <c r="K28" s="21" t="s">
        <v>189</v>
      </c>
      <c r="L28" s="21" t="s">
        <v>187</v>
      </c>
      <c r="M28" s="21" t="s">
        <v>185</v>
      </c>
      <c r="N28" s="21" t="s">
        <v>183</v>
      </c>
      <c r="O28" s="21" t="s">
        <v>181</v>
      </c>
      <c r="P28" s="21" t="s">
        <v>179</v>
      </c>
      <c r="Q28" s="21" t="s">
        <v>177</v>
      </c>
      <c r="R28" s="21" t="s">
        <v>193</v>
      </c>
    </row>
    <row r="29" spans="1:18" ht="52.8" x14ac:dyDescent="0.2">
      <c r="A29" s="16">
        <v>3</v>
      </c>
      <c r="B29" s="5" t="s">
        <v>10</v>
      </c>
      <c r="C29" s="18">
        <f>VLOOKUP(B29,二十四節気!$C$3:$I$26,7,FALSE)</f>
        <v>42464</v>
      </c>
      <c r="D29" s="16" t="str">
        <f t="shared" si="0"/>
        <v>三碧木星</v>
      </c>
      <c r="F29" s="16" t="s">
        <v>168</v>
      </c>
      <c r="G29" s="21" t="s">
        <v>191</v>
      </c>
      <c r="H29" s="21" t="s">
        <v>189</v>
      </c>
      <c r="I29" s="21" t="s">
        <v>187</v>
      </c>
      <c r="J29" s="21" t="s">
        <v>185</v>
      </c>
      <c r="K29" s="21" t="s">
        <v>183</v>
      </c>
      <c r="L29" s="21" t="s">
        <v>181</v>
      </c>
      <c r="M29" s="21" t="s">
        <v>179</v>
      </c>
      <c r="N29" s="21" t="s">
        <v>177</v>
      </c>
      <c r="O29" s="21" t="s">
        <v>193</v>
      </c>
      <c r="P29" s="21" t="s">
        <v>191</v>
      </c>
      <c r="Q29" s="21" t="s">
        <v>189</v>
      </c>
      <c r="R29" s="21" t="s">
        <v>187</v>
      </c>
    </row>
    <row r="30" spans="1:18" ht="52.8" x14ac:dyDescent="0.2">
      <c r="A30" s="16">
        <v>4</v>
      </c>
      <c r="B30" s="5" t="s">
        <v>12</v>
      </c>
      <c r="C30" s="18">
        <f>VLOOKUP(B30,二十四節気!$C$3:$I$26,7,FALSE)</f>
        <v>42495</v>
      </c>
      <c r="D30" s="16" t="str">
        <f t="shared" si="0"/>
        <v>二黒土星</v>
      </c>
      <c r="F30" s="16" t="s">
        <v>169</v>
      </c>
      <c r="G30" s="21" t="s">
        <v>185</v>
      </c>
      <c r="H30" s="21" t="s">
        <v>183</v>
      </c>
      <c r="I30" s="21" t="s">
        <v>181</v>
      </c>
      <c r="J30" s="21" t="s">
        <v>179</v>
      </c>
      <c r="K30" s="21" t="s">
        <v>177</v>
      </c>
      <c r="L30" s="21" t="s">
        <v>193</v>
      </c>
      <c r="M30" s="21" t="s">
        <v>191</v>
      </c>
      <c r="N30" s="21" t="s">
        <v>189</v>
      </c>
      <c r="O30" s="21" t="s">
        <v>187</v>
      </c>
      <c r="P30" s="21" t="s">
        <v>185</v>
      </c>
      <c r="Q30" s="21" t="s">
        <v>183</v>
      </c>
      <c r="R30" s="21" t="s">
        <v>181</v>
      </c>
    </row>
    <row r="31" spans="1:18" ht="52.8" x14ac:dyDescent="0.2">
      <c r="A31" s="16">
        <v>5</v>
      </c>
      <c r="B31" s="5" t="s">
        <v>14</v>
      </c>
      <c r="C31" s="18">
        <f>VLOOKUP(B31,二十四節気!$C$3:$I$26,7,FALSE)</f>
        <v>42526</v>
      </c>
      <c r="D31" s="16" t="str">
        <f t="shared" si="0"/>
        <v>一白水星</v>
      </c>
      <c r="F31" s="16" t="s">
        <v>170</v>
      </c>
      <c r="G31" s="21" t="s">
        <v>179</v>
      </c>
      <c r="H31" s="21" t="s">
        <v>177</v>
      </c>
      <c r="I31" s="21" t="s">
        <v>193</v>
      </c>
      <c r="J31" s="21" t="s">
        <v>191</v>
      </c>
      <c r="K31" s="21" t="s">
        <v>189</v>
      </c>
      <c r="L31" s="21" t="s">
        <v>187</v>
      </c>
      <c r="M31" s="21" t="s">
        <v>185</v>
      </c>
      <c r="N31" s="21" t="s">
        <v>183</v>
      </c>
      <c r="O31" s="21" t="s">
        <v>181</v>
      </c>
      <c r="P31" s="21" t="s">
        <v>179</v>
      </c>
      <c r="Q31" s="21" t="s">
        <v>177</v>
      </c>
      <c r="R31" s="21" t="s">
        <v>193</v>
      </c>
    </row>
    <row r="32" spans="1:18" ht="52.8" x14ac:dyDescent="0.2">
      <c r="A32" s="16">
        <v>6</v>
      </c>
      <c r="B32" s="5" t="s">
        <v>16</v>
      </c>
      <c r="C32" s="18">
        <f>VLOOKUP(B32,二十四節気!$C$3:$I$26,7,FALSE)</f>
        <v>42558</v>
      </c>
      <c r="D32" s="16" t="str">
        <f t="shared" si="0"/>
        <v>九紫火星</v>
      </c>
      <c r="F32" s="16" t="s">
        <v>171</v>
      </c>
      <c r="G32" s="21" t="s">
        <v>191</v>
      </c>
      <c r="H32" s="21" t="s">
        <v>189</v>
      </c>
      <c r="I32" s="21" t="s">
        <v>187</v>
      </c>
      <c r="J32" s="21" t="s">
        <v>185</v>
      </c>
      <c r="K32" s="21" t="s">
        <v>183</v>
      </c>
      <c r="L32" s="21" t="s">
        <v>181</v>
      </c>
      <c r="M32" s="21" t="s">
        <v>179</v>
      </c>
      <c r="N32" s="21" t="s">
        <v>177</v>
      </c>
      <c r="O32" s="21" t="s">
        <v>193</v>
      </c>
      <c r="P32" s="21" t="s">
        <v>191</v>
      </c>
      <c r="Q32" s="21" t="s">
        <v>189</v>
      </c>
      <c r="R32" s="21" t="s">
        <v>187</v>
      </c>
    </row>
    <row r="33" spans="1:18" ht="52.8" x14ac:dyDescent="0.2">
      <c r="A33" s="16">
        <v>7</v>
      </c>
      <c r="B33" s="5" t="s">
        <v>18</v>
      </c>
      <c r="C33" s="18">
        <f>VLOOKUP(B33,二十四節気!$C$3:$I$26,7,FALSE)</f>
        <v>42589</v>
      </c>
      <c r="D33" s="16" t="str">
        <f t="shared" si="0"/>
        <v>八白土星</v>
      </c>
      <c r="F33" s="16" t="s">
        <v>172</v>
      </c>
      <c r="G33" s="21" t="s">
        <v>185</v>
      </c>
      <c r="H33" s="21" t="s">
        <v>183</v>
      </c>
      <c r="I33" s="21" t="s">
        <v>181</v>
      </c>
      <c r="J33" s="21" t="s">
        <v>179</v>
      </c>
      <c r="K33" s="21" t="s">
        <v>177</v>
      </c>
      <c r="L33" s="21" t="s">
        <v>193</v>
      </c>
      <c r="M33" s="21" t="s">
        <v>191</v>
      </c>
      <c r="N33" s="21" t="s">
        <v>189</v>
      </c>
      <c r="O33" s="21" t="s">
        <v>187</v>
      </c>
      <c r="P33" s="21" t="s">
        <v>185</v>
      </c>
      <c r="Q33" s="21" t="s">
        <v>183</v>
      </c>
      <c r="R33" s="21" t="s">
        <v>214</v>
      </c>
    </row>
    <row r="34" spans="1:18" ht="52.8" x14ac:dyDescent="0.2">
      <c r="A34" s="16">
        <v>8</v>
      </c>
      <c r="B34" s="5" t="s">
        <v>20</v>
      </c>
      <c r="C34" s="18">
        <f>VLOOKUP(B34,二十四節気!$C$3:$I$26,7,FALSE)</f>
        <v>42620</v>
      </c>
      <c r="D34" s="16" t="str">
        <f t="shared" si="0"/>
        <v>七赤金星</v>
      </c>
      <c r="F34" s="16" t="s">
        <v>173</v>
      </c>
      <c r="G34" s="21" t="s">
        <v>179</v>
      </c>
      <c r="H34" s="21" t="s">
        <v>177</v>
      </c>
      <c r="I34" s="21" t="s">
        <v>193</v>
      </c>
      <c r="J34" s="21" t="s">
        <v>191</v>
      </c>
      <c r="K34" s="21" t="s">
        <v>189</v>
      </c>
      <c r="L34" s="21" t="s">
        <v>187</v>
      </c>
      <c r="M34" s="21" t="s">
        <v>185</v>
      </c>
      <c r="N34" s="21" t="s">
        <v>183</v>
      </c>
      <c r="O34" s="21" t="s">
        <v>181</v>
      </c>
      <c r="P34" s="21" t="s">
        <v>179</v>
      </c>
      <c r="Q34" s="21" t="s">
        <v>177</v>
      </c>
      <c r="R34" s="21" t="s">
        <v>193</v>
      </c>
    </row>
    <row r="35" spans="1:18" ht="52.8" x14ac:dyDescent="0.2">
      <c r="A35" s="16">
        <v>9</v>
      </c>
      <c r="B35" s="5" t="s">
        <v>22</v>
      </c>
      <c r="C35" s="18">
        <f>VLOOKUP(B35,二十四節気!$C$3:$I$26,7,FALSE)</f>
        <v>42651</v>
      </c>
      <c r="D35" s="16" t="str">
        <f t="shared" si="0"/>
        <v>六白金星</v>
      </c>
      <c r="F35" s="16" t="s">
        <v>174</v>
      </c>
      <c r="G35" s="21" t="s">
        <v>191</v>
      </c>
      <c r="H35" s="21" t="s">
        <v>189</v>
      </c>
      <c r="I35" s="21" t="s">
        <v>187</v>
      </c>
      <c r="J35" s="21" t="s">
        <v>185</v>
      </c>
      <c r="K35" s="21" t="s">
        <v>183</v>
      </c>
      <c r="L35" s="21" t="s">
        <v>181</v>
      </c>
      <c r="M35" s="21" t="s">
        <v>179</v>
      </c>
      <c r="N35" s="21" t="s">
        <v>177</v>
      </c>
      <c r="O35" s="21" t="s">
        <v>193</v>
      </c>
      <c r="P35" s="21" t="s">
        <v>191</v>
      </c>
      <c r="Q35" s="21" t="s">
        <v>189</v>
      </c>
      <c r="R35" s="21" t="s">
        <v>187</v>
      </c>
    </row>
    <row r="36" spans="1:18" ht="52.8" x14ac:dyDescent="0.2">
      <c r="A36" s="16">
        <v>10</v>
      </c>
      <c r="B36" s="5" t="s">
        <v>24</v>
      </c>
      <c r="C36" s="18">
        <f>VLOOKUP(B36,二十四節気!$C$3:$I$26,7,FALSE)</f>
        <v>42681</v>
      </c>
      <c r="D36" s="16" t="str">
        <f t="shared" si="0"/>
        <v>五黄土星</v>
      </c>
      <c r="F36" s="16" t="s">
        <v>175</v>
      </c>
      <c r="G36" s="21" t="s">
        <v>185</v>
      </c>
      <c r="H36" s="21" t="s">
        <v>183</v>
      </c>
      <c r="I36" s="21" t="s">
        <v>181</v>
      </c>
      <c r="J36" s="21" t="s">
        <v>179</v>
      </c>
      <c r="K36" s="21" t="s">
        <v>177</v>
      </c>
      <c r="L36" s="21" t="s">
        <v>193</v>
      </c>
      <c r="M36" s="21" t="s">
        <v>191</v>
      </c>
      <c r="N36" s="21" t="s">
        <v>189</v>
      </c>
      <c r="O36" s="21" t="s">
        <v>187</v>
      </c>
      <c r="P36" s="21" t="s">
        <v>185</v>
      </c>
      <c r="Q36" s="21" t="s">
        <v>183</v>
      </c>
      <c r="R36" s="21" t="s">
        <v>181</v>
      </c>
    </row>
    <row r="37" spans="1:18" ht="52.8" x14ac:dyDescent="0.2">
      <c r="A37" s="16">
        <v>11</v>
      </c>
      <c r="B37" s="5" t="s">
        <v>26</v>
      </c>
      <c r="C37" s="18">
        <f>VLOOKUP(B37,二十四節気!$C$3:$I$26,7,FALSE)</f>
        <v>42711</v>
      </c>
      <c r="D37" s="16" t="str">
        <f t="shared" si="0"/>
        <v>四録木星</v>
      </c>
      <c r="F37" s="16" t="s">
        <v>176</v>
      </c>
      <c r="G37" s="21" t="s">
        <v>179</v>
      </c>
      <c r="H37" s="21" t="s">
        <v>177</v>
      </c>
      <c r="I37" s="21" t="s">
        <v>193</v>
      </c>
      <c r="J37" s="21" t="s">
        <v>191</v>
      </c>
      <c r="K37" s="21" t="s">
        <v>189</v>
      </c>
      <c r="L37" s="21" t="s">
        <v>187</v>
      </c>
      <c r="M37" s="21" t="s">
        <v>185</v>
      </c>
      <c r="N37" s="21" t="s">
        <v>183</v>
      </c>
      <c r="O37" s="21" t="s">
        <v>181</v>
      </c>
      <c r="P37" s="21" t="s">
        <v>179</v>
      </c>
      <c r="Q37" s="21" t="s">
        <v>177</v>
      </c>
      <c r="R37" s="21" t="s">
        <v>193</v>
      </c>
    </row>
    <row r="38" spans="1:18" ht="13.8" thickBot="1" x14ac:dyDescent="0.25"/>
    <row r="39" spans="1:18" ht="29.25" customHeight="1" thickBot="1" x14ac:dyDescent="0.25">
      <c r="A39" s="15" t="s">
        <v>197</v>
      </c>
      <c r="B39" s="15" t="str">
        <f>INDEX($G$26:$R$37,MATCH($B$22,$F$26:$F$37,0),MATCH($B23,$G$25:$R$25,0))</f>
        <v>三碧木星</v>
      </c>
    </row>
    <row r="42" spans="1:18" x14ac:dyDescent="0.2">
      <c r="B42" s="1"/>
      <c r="C42" s="1"/>
      <c r="D42" s="1"/>
    </row>
    <row r="43" spans="1:18" x14ac:dyDescent="0.2">
      <c r="B43" s="1"/>
      <c r="C43" s="1"/>
      <c r="D43" s="1"/>
      <c r="E43" s="1"/>
      <c r="L43" s="2"/>
      <c r="M43" s="2"/>
    </row>
    <row r="44" spans="1:18" x14ac:dyDescent="0.2">
      <c r="B44" s="1"/>
      <c r="C44" s="1"/>
      <c r="D44" s="1"/>
      <c r="E44" s="1"/>
      <c r="L44" s="2"/>
      <c r="M44" s="2"/>
    </row>
    <row r="45" spans="1:18" x14ac:dyDescent="0.2">
      <c r="B45" s="1"/>
      <c r="C45" s="1"/>
      <c r="D45" s="1"/>
      <c r="E45" s="1"/>
      <c r="L45" s="2"/>
      <c r="M45" s="2"/>
    </row>
    <row r="46" spans="1:18" x14ac:dyDescent="0.2">
      <c r="B46" s="1"/>
      <c r="C46" s="1"/>
      <c r="D46" s="1"/>
      <c r="E46" s="1"/>
      <c r="L46" s="2"/>
      <c r="M46" s="2"/>
    </row>
    <row r="47" spans="1:18" x14ac:dyDescent="0.2">
      <c r="B47" s="1"/>
      <c r="C47" s="1"/>
      <c r="D47" s="1"/>
      <c r="E47" s="1"/>
      <c r="L47" s="2"/>
      <c r="M47" s="2"/>
    </row>
  </sheetData>
  <mergeCells count="2">
    <mergeCell ref="A1:H1"/>
    <mergeCell ref="A17:H17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86"/>
  <sheetViews>
    <sheetView topLeftCell="A10" zoomScaleNormal="100" workbookViewId="0">
      <selection activeCell="F37" sqref="F37"/>
    </sheetView>
  </sheetViews>
  <sheetFormatPr defaultRowHeight="13.2" x14ac:dyDescent="0.2"/>
  <cols>
    <col min="1" max="1" width="5.21875" bestFit="1" customWidth="1"/>
    <col min="2" max="2" width="11.6640625" bestFit="1" customWidth="1"/>
    <col min="3" max="4" width="5.44140625" bestFit="1" customWidth="1"/>
    <col min="5" max="5" width="3.44140625" bestFit="1" customWidth="1"/>
    <col min="6" max="6" width="10.21875" customWidth="1"/>
    <col min="7" max="7" width="3.44140625" bestFit="1" customWidth="1"/>
    <col min="8" max="8" width="5.21875" bestFit="1" customWidth="1"/>
    <col min="9" max="9" width="2.44140625" bestFit="1" customWidth="1"/>
    <col min="10" max="12" width="11.6640625" bestFit="1" customWidth="1"/>
    <col min="13" max="13" width="4.44140625" bestFit="1" customWidth="1"/>
    <col min="14" max="14" width="11.6640625" bestFit="1" customWidth="1"/>
    <col min="15" max="15" width="3.44140625" bestFit="1" customWidth="1"/>
    <col min="16" max="16" width="2.44140625" bestFit="1" customWidth="1"/>
    <col min="17" max="17" width="9" bestFit="1" customWidth="1"/>
    <col min="20" max="20" width="11.6640625" bestFit="1" customWidth="1"/>
  </cols>
  <sheetData>
    <row r="1" spans="1:14" ht="16.8" thickBot="1" x14ac:dyDescent="0.25">
      <c r="A1" s="48" t="s">
        <v>207</v>
      </c>
      <c r="B1" s="48"/>
      <c r="C1" s="48"/>
      <c r="D1" s="48"/>
      <c r="E1" s="48"/>
      <c r="F1" s="48"/>
      <c r="G1" s="48"/>
      <c r="H1" s="48"/>
      <c r="I1" s="48"/>
    </row>
    <row r="2" spans="1:14" ht="13.8" thickTop="1" x14ac:dyDescent="0.2"/>
    <row r="3" spans="1:14" x14ac:dyDescent="0.2">
      <c r="A3">
        <v>1</v>
      </c>
      <c r="B3" s="49" t="s">
        <v>230</v>
      </c>
      <c r="C3" s="49"/>
      <c r="D3" s="49"/>
      <c r="E3" s="49"/>
      <c r="F3" s="49"/>
      <c r="G3" s="49"/>
      <c r="H3" s="49"/>
      <c r="I3" s="49"/>
    </row>
    <row r="4" spans="1:14" ht="27" customHeight="1" x14ac:dyDescent="0.2">
      <c r="A4">
        <v>2</v>
      </c>
      <c r="B4" s="52" t="s">
        <v>231</v>
      </c>
      <c r="C4" s="52"/>
      <c r="D4" s="52"/>
      <c r="E4" s="52"/>
      <c r="F4" s="52"/>
      <c r="G4" s="52"/>
      <c r="H4" s="52"/>
      <c r="I4" s="52"/>
      <c r="J4" s="52"/>
    </row>
    <row r="5" spans="1:14" ht="27" customHeight="1" x14ac:dyDescent="0.2">
      <c r="B5" s="52" t="s">
        <v>236</v>
      </c>
      <c r="C5" s="52"/>
      <c r="D5" s="52"/>
      <c r="E5" s="52"/>
      <c r="F5" s="52"/>
      <c r="G5" s="52"/>
      <c r="H5" s="52"/>
      <c r="I5" s="52"/>
      <c r="J5" s="52"/>
    </row>
    <row r="6" spans="1:14" ht="24" customHeight="1" x14ac:dyDescent="0.2">
      <c r="A6">
        <v>3</v>
      </c>
      <c r="B6" s="52" t="s">
        <v>232</v>
      </c>
      <c r="C6" s="52"/>
      <c r="D6" s="52"/>
      <c r="E6" s="52"/>
      <c r="F6" s="52"/>
      <c r="G6" s="52"/>
      <c r="H6" s="52"/>
      <c r="I6" s="52"/>
      <c r="J6" s="52"/>
    </row>
    <row r="7" spans="1:14" ht="16.5" customHeight="1" x14ac:dyDescent="0.2">
      <c r="A7">
        <v>4</v>
      </c>
      <c r="B7" s="52" t="s">
        <v>233</v>
      </c>
      <c r="C7" s="52"/>
      <c r="D7" s="52"/>
      <c r="E7" s="52"/>
      <c r="F7" s="52"/>
      <c r="G7" s="52"/>
      <c r="H7" s="52"/>
      <c r="I7" s="52"/>
      <c r="J7" s="52"/>
    </row>
    <row r="8" spans="1:14" ht="30.75" customHeight="1" x14ac:dyDescent="0.2">
      <c r="A8">
        <v>5</v>
      </c>
      <c r="B8" s="52" t="s">
        <v>234</v>
      </c>
      <c r="C8" s="52"/>
      <c r="D8" s="52"/>
      <c r="E8" s="52"/>
      <c r="F8" s="52"/>
      <c r="G8" s="52"/>
      <c r="H8" s="52"/>
      <c r="I8" s="52"/>
      <c r="J8" s="52"/>
    </row>
    <row r="9" spans="1:14" ht="22.5" customHeight="1" x14ac:dyDescent="0.2">
      <c r="A9">
        <v>6</v>
      </c>
      <c r="B9" s="52" t="s">
        <v>235</v>
      </c>
      <c r="C9" s="52"/>
      <c r="D9" s="52"/>
      <c r="E9" s="52"/>
      <c r="F9" s="52"/>
      <c r="G9" s="52"/>
      <c r="H9" s="52"/>
      <c r="I9" s="52"/>
      <c r="J9" s="52"/>
    </row>
    <row r="10" spans="1:14" x14ac:dyDescent="0.2">
      <c r="B10" t="s">
        <v>239</v>
      </c>
      <c r="N10" s="1"/>
    </row>
    <row r="11" spans="1:14" x14ac:dyDescent="0.2">
      <c r="B11" t="s">
        <v>258</v>
      </c>
      <c r="N11" s="1"/>
    </row>
    <row r="12" spans="1:14" x14ac:dyDescent="0.2">
      <c r="N12" s="1"/>
    </row>
    <row r="13" spans="1:14" x14ac:dyDescent="0.2">
      <c r="B13" s="34">
        <f>YEAR(TOP!B1)</f>
        <v>2016</v>
      </c>
      <c r="C13" s="3"/>
      <c r="D13" s="3"/>
      <c r="E13" s="3"/>
      <c r="F13" s="3"/>
      <c r="G13" s="3"/>
      <c r="H13" s="3"/>
      <c r="I13" s="4"/>
      <c r="J13" s="16" t="s">
        <v>229</v>
      </c>
      <c r="K13" t="s">
        <v>240</v>
      </c>
      <c r="N13" s="1"/>
    </row>
    <row r="14" spans="1:14" x14ac:dyDescent="0.2">
      <c r="A14" s="40" t="s">
        <v>31</v>
      </c>
      <c r="B14" s="41" t="s">
        <v>32</v>
      </c>
      <c r="C14" s="41" t="s">
        <v>33</v>
      </c>
      <c r="D14" s="33" t="s">
        <v>0</v>
      </c>
      <c r="E14" s="33" t="s">
        <v>2</v>
      </c>
      <c r="F14" s="41" t="s">
        <v>1</v>
      </c>
      <c r="G14" s="37"/>
      <c r="H14" s="37"/>
      <c r="I14" s="16">
        <v>0</v>
      </c>
      <c r="J14" s="16" t="s">
        <v>178</v>
      </c>
      <c r="K14" t="s">
        <v>249</v>
      </c>
      <c r="M14" s="1"/>
    </row>
    <row r="15" spans="1:14" x14ac:dyDescent="0.2">
      <c r="A15" s="5" t="s">
        <v>15</v>
      </c>
      <c r="B15" s="6">
        <v>22.274699999999999</v>
      </c>
      <c r="C15" s="6">
        <v>0.24166899999999997</v>
      </c>
      <c r="D15" s="5">
        <v>6</v>
      </c>
      <c r="E15" s="35">
        <f>INT(B15+(C15*(($B13-2)-1900))-INT((($B13-2)-1900)/4))</f>
        <v>21</v>
      </c>
      <c r="F15" s="39">
        <f>DATE($B13-2,D15,E15)</f>
        <v>41811</v>
      </c>
      <c r="G15" s="32"/>
      <c r="H15" s="32"/>
      <c r="I15" s="16">
        <v>1</v>
      </c>
      <c r="J15" s="16" t="s">
        <v>180</v>
      </c>
      <c r="K15" t="s">
        <v>250</v>
      </c>
      <c r="M15" s="1"/>
    </row>
    <row r="16" spans="1:14" x14ac:dyDescent="0.2">
      <c r="A16" s="5" t="s">
        <v>27</v>
      </c>
      <c r="B16" s="6">
        <v>22.6587</v>
      </c>
      <c r="C16" s="6">
        <v>0.242752</v>
      </c>
      <c r="D16" s="5">
        <v>12</v>
      </c>
      <c r="E16" s="4">
        <f>INT(B16+(C16*(($B13-2)-1900))-INT((($B13-2)-1900)/4))</f>
        <v>22</v>
      </c>
      <c r="F16" s="39">
        <f>DATE($B$13-2,D16,E16)</f>
        <v>41995</v>
      </c>
      <c r="G16" s="32"/>
      <c r="H16" s="32"/>
      <c r="I16" s="16">
        <v>2</v>
      </c>
      <c r="J16" s="16" t="s">
        <v>182</v>
      </c>
      <c r="K16" t="s">
        <v>251</v>
      </c>
      <c r="M16" s="1"/>
    </row>
    <row r="17" spans="1:16" x14ac:dyDescent="0.2">
      <c r="A17" s="5" t="s">
        <v>15</v>
      </c>
      <c r="B17" s="6">
        <v>22.274699999999999</v>
      </c>
      <c r="C17" s="6">
        <v>0.24166899999999997</v>
      </c>
      <c r="D17" s="5">
        <v>6</v>
      </c>
      <c r="E17" s="4">
        <f>INT(B17+(C17*(($B13-1)-1900))-INT((($B13-1)-1900)/4))</f>
        <v>22</v>
      </c>
      <c r="F17" s="39">
        <f>DATE($B$13-1,D17,E17)</f>
        <v>42177</v>
      </c>
      <c r="G17" s="32"/>
      <c r="H17" s="32"/>
      <c r="I17" s="16">
        <v>3</v>
      </c>
      <c r="J17" s="16" t="s">
        <v>184</v>
      </c>
      <c r="K17" t="s">
        <v>252</v>
      </c>
      <c r="M17" s="1"/>
    </row>
    <row r="18" spans="1:16" x14ac:dyDescent="0.2">
      <c r="A18" s="5" t="s">
        <v>27</v>
      </c>
      <c r="B18" s="6">
        <v>22.6587</v>
      </c>
      <c r="C18" s="6">
        <v>0.242752</v>
      </c>
      <c r="D18" s="5">
        <v>12</v>
      </c>
      <c r="E18" s="4">
        <f>INT(B18+(C18*(($B13-1)-1900))-INT((($B13-1)-1900)/4))</f>
        <v>22</v>
      </c>
      <c r="F18" s="39">
        <f>DATE($B$13-1,D18,E18)</f>
        <v>42360</v>
      </c>
      <c r="G18" s="32"/>
      <c r="H18" s="32"/>
      <c r="I18" s="16">
        <v>4</v>
      </c>
      <c r="J18" s="16" t="s">
        <v>186</v>
      </c>
      <c r="K18" t="s">
        <v>253</v>
      </c>
      <c r="M18" s="1"/>
    </row>
    <row r="19" spans="1:16" x14ac:dyDescent="0.2">
      <c r="A19" s="5" t="s">
        <v>15</v>
      </c>
      <c r="B19" s="6">
        <v>22.274699999999999</v>
      </c>
      <c r="C19" s="6">
        <v>0.24166899999999997</v>
      </c>
      <c r="D19" s="5">
        <v>6</v>
      </c>
      <c r="E19" s="4">
        <f>INT(B19+(C19*(($B13)-1900))-INT((($B13)-1900)/4))</f>
        <v>21</v>
      </c>
      <c r="F19" s="39">
        <f>DATE($B$13,D19,E19)</f>
        <v>42542</v>
      </c>
      <c r="G19" s="32"/>
      <c r="H19" s="32"/>
      <c r="I19" s="16">
        <v>5</v>
      </c>
      <c r="J19" s="16" t="s">
        <v>188</v>
      </c>
      <c r="K19" t="s">
        <v>254</v>
      </c>
      <c r="M19" s="1"/>
    </row>
    <row r="20" spans="1:16" x14ac:dyDescent="0.2">
      <c r="A20" s="5" t="s">
        <v>27</v>
      </c>
      <c r="B20" s="6">
        <v>22.6587</v>
      </c>
      <c r="C20" s="6">
        <v>0.242752</v>
      </c>
      <c r="D20" s="5">
        <v>12</v>
      </c>
      <c r="E20" s="4">
        <f>INT(B20+(C20*(($B13)-1900))-INT((($B13)-1900)/4))</f>
        <v>21</v>
      </c>
      <c r="F20" s="39">
        <f>DATE($B$13,D20,E20)</f>
        <v>42725</v>
      </c>
      <c r="G20" s="32"/>
      <c r="H20" s="32"/>
      <c r="I20" s="16">
        <v>6</v>
      </c>
      <c r="J20" s="16" t="s">
        <v>190</v>
      </c>
      <c r="K20" t="s">
        <v>255</v>
      </c>
      <c r="M20" s="1"/>
    </row>
    <row r="21" spans="1:16" x14ac:dyDescent="0.2">
      <c r="A21" s="5" t="s">
        <v>15</v>
      </c>
      <c r="B21" s="6">
        <v>22.274699999999999</v>
      </c>
      <c r="C21" s="6">
        <v>0.24166899999999997</v>
      </c>
      <c r="D21" s="5">
        <v>6</v>
      </c>
      <c r="E21" s="4">
        <f>INT(B21+(C21*(($B13+1)-1900))-INT((($B13+1)-1900)/4))</f>
        <v>21</v>
      </c>
      <c r="F21" s="39">
        <f>DATE($B$13+1,D21,E21)</f>
        <v>42907</v>
      </c>
      <c r="G21" s="32"/>
      <c r="H21" s="32"/>
      <c r="I21" s="16">
        <v>7</v>
      </c>
      <c r="J21" s="16" t="s">
        <v>192</v>
      </c>
      <c r="K21" t="s">
        <v>256</v>
      </c>
      <c r="M21" s="1"/>
    </row>
    <row r="22" spans="1:16" x14ac:dyDescent="0.2">
      <c r="A22" s="5" t="s">
        <v>27</v>
      </c>
      <c r="B22" s="6">
        <v>22.6587</v>
      </c>
      <c r="C22" s="6">
        <v>0.242752</v>
      </c>
      <c r="D22" s="5">
        <v>12</v>
      </c>
      <c r="E22" s="4">
        <f>INT(B22+(C22*(($B13+1)-1900))-INT((($B13+1)-1900)/4))</f>
        <v>22</v>
      </c>
      <c r="F22" s="39">
        <f>DATE($B$13+1,D22,E22)</f>
        <v>43091</v>
      </c>
      <c r="G22" s="32"/>
      <c r="H22" s="32"/>
      <c r="I22" s="16">
        <v>8</v>
      </c>
      <c r="J22" s="16" t="s">
        <v>194</v>
      </c>
      <c r="K22" t="s">
        <v>257</v>
      </c>
      <c r="M22" s="1"/>
    </row>
    <row r="23" spans="1:16" x14ac:dyDescent="0.2">
      <c r="N23" s="1"/>
    </row>
    <row r="24" spans="1:16" x14ac:dyDescent="0.2">
      <c r="B24" s="1"/>
    </row>
    <row r="25" spans="1:16" x14ac:dyDescent="0.2">
      <c r="B25" t="s">
        <v>1</v>
      </c>
      <c r="C25" t="s">
        <v>28</v>
      </c>
      <c r="D25" t="s">
        <v>0</v>
      </c>
      <c r="E25" t="s">
        <v>2</v>
      </c>
      <c r="F25" s="38" t="s">
        <v>228</v>
      </c>
      <c r="G25" s="51" t="s">
        <v>206</v>
      </c>
      <c r="H25" s="51"/>
      <c r="J25" t="s">
        <v>223</v>
      </c>
      <c r="K25" t="s">
        <v>224</v>
      </c>
      <c r="M25" t="s">
        <v>238</v>
      </c>
      <c r="N25" t="s">
        <v>237</v>
      </c>
    </row>
    <row r="26" spans="1:16" x14ac:dyDescent="0.2">
      <c r="A26" s="19" t="s">
        <v>208</v>
      </c>
      <c r="B26" s="29">
        <f>F16</f>
        <v>41995</v>
      </c>
      <c r="C26" s="19">
        <f t="shared" ref="C26:C31" si="0">YEAR(B26)</f>
        <v>2014</v>
      </c>
      <c r="D26" s="19">
        <f t="shared" ref="D26:D31" si="1">MONTH(B26)</f>
        <v>12</v>
      </c>
      <c r="E26" s="19">
        <f t="shared" ref="E26:E31" si="2">DAY(B26)</f>
        <v>22</v>
      </c>
      <c r="F26" s="31">
        <f>INT(365.25*(YEAR(B26)))+INT((YEAR(B26))/400)-INT((YEAR(B26))/100)+INT(30.59*((MONTH(B26))-2))+(DAY(B26))-678912</f>
        <v>57013</v>
      </c>
      <c r="G26" s="19">
        <f>MOD(F26+50,60)</f>
        <v>3</v>
      </c>
      <c r="H26" s="19" t="str">
        <f>VLOOKUP(G26,干支!$A$2:$B$61,2,FALSE)</f>
        <v>丁卯</v>
      </c>
      <c r="J26" s="29">
        <f>B26-G26</f>
        <v>41992</v>
      </c>
      <c r="K26" s="29">
        <f>$B$26+(60-$G26)</f>
        <v>42052</v>
      </c>
      <c r="L26" s="1">
        <f>IF(G26&lt;30,J26,K26)</f>
        <v>41992</v>
      </c>
    </row>
    <row r="27" spans="1:16" x14ac:dyDescent="0.2">
      <c r="A27" s="19" t="s">
        <v>209</v>
      </c>
      <c r="B27" s="29">
        <f t="shared" ref="B27:B31" si="3">F17</f>
        <v>42177</v>
      </c>
      <c r="C27" s="19">
        <f t="shared" si="0"/>
        <v>2015</v>
      </c>
      <c r="D27" s="19">
        <f t="shared" si="1"/>
        <v>6</v>
      </c>
      <c r="E27" s="19">
        <f t="shared" si="2"/>
        <v>22</v>
      </c>
      <c r="F27" s="31">
        <f>INT(365.25*(YEAR(B27)))+INT((YEAR(B27))/400)-INT((YEAR(B27))/100)+INT(30.59*((MONTH(B27))-2))+(DAY(B27))-678912</f>
        <v>57195</v>
      </c>
      <c r="G27" s="19">
        <f>MOD(F27+50,60)</f>
        <v>5</v>
      </c>
      <c r="H27" s="19" t="str">
        <f>VLOOKUP(G27,干支!$A$2:$B$61,2,FALSE)</f>
        <v>己巳</v>
      </c>
      <c r="J27" s="29">
        <f>B27-G27</f>
        <v>42172</v>
      </c>
      <c r="K27" s="29">
        <f>$B$27+(60-$G27)</f>
        <v>42232</v>
      </c>
      <c r="L27" s="1">
        <f>IF(G27&lt;30,J27,K27)</f>
        <v>42172</v>
      </c>
      <c r="M27">
        <f>L27-L26</f>
        <v>180</v>
      </c>
      <c r="N27" s="1">
        <f>IF(M27=240,L27-30,L27)</f>
        <v>42172</v>
      </c>
      <c r="O27">
        <f>IF(M27=240,2,8)</f>
        <v>8</v>
      </c>
      <c r="P27" t="s">
        <v>227</v>
      </c>
    </row>
    <row r="28" spans="1:16" x14ac:dyDescent="0.2">
      <c r="A28" s="19" t="s">
        <v>208</v>
      </c>
      <c r="B28" s="29">
        <f t="shared" si="3"/>
        <v>42360</v>
      </c>
      <c r="C28" s="19">
        <f t="shared" si="0"/>
        <v>2015</v>
      </c>
      <c r="D28" s="19">
        <f t="shared" si="1"/>
        <v>12</v>
      </c>
      <c r="E28" s="19">
        <f t="shared" si="2"/>
        <v>22</v>
      </c>
      <c r="F28" s="19">
        <f>INT(365.25*(C28))+INT((C28)/400)-INT((C28)/100)+INT(30.59*(D28-2))+E28-678912</f>
        <v>57378</v>
      </c>
      <c r="G28" s="19">
        <f t="shared" ref="G28:G31" si="4">MOD(F28+50,60)</f>
        <v>8</v>
      </c>
      <c r="H28" s="19" t="str">
        <f>VLOOKUP(G28,干支!$A$2:$B$61,2,FALSE)</f>
        <v>壬申</v>
      </c>
      <c r="J28" s="29">
        <f>$B$28-$G28</f>
        <v>42352</v>
      </c>
      <c r="K28" s="29">
        <f>$B$28+(60-$G$28)</f>
        <v>42412</v>
      </c>
      <c r="L28" s="1">
        <f t="shared" ref="L28:L31" si="5">IF(G28&lt;30,J28,K28)</f>
        <v>42352</v>
      </c>
      <c r="M28">
        <f>L28-L27</f>
        <v>180</v>
      </c>
      <c r="N28" s="1">
        <f>IF(M28=240,L28-30,L28)</f>
        <v>42352</v>
      </c>
      <c r="O28">
        <f>IF(M28=240,6,0)</f>
        <v>0</v>
      </c>
      <c r="P28" t="s">
        <v>225</v>
      </c>
    </row>
    <row r="29" spans="1:16" x14ac:dyDescent="0.2">
      <c r="A29" s="19" t="s">
        <v>209</v>
      </c>
      <c r="B29" s="29">
        <f t="shared" si="3"/>
        <v>42542</v>
      </c>
      <c r="C29" s="19">
        <f t="shared" si="0"/>
        <v>2016</v>
      </c>
      <c r="D29" s="19">
        <f t="shared" si="1"/>
        <v>6</v>
      </c>
      <c r="E29" s="19">
        <f t="shared" si="2"/>
        <v>21</v>
      </c>
      <c r="F29" s="19">
        <f>INT(365.25*(C29))+INT((C29)/400)-INT((C29)/100)+INT(30.59*(D29-2))+E29-678912</f>
        <v>57560</v>
      </c>
      <c r="G29" s="19">
        <f t="shared" si="4"/>
        <v>10</v>
      </c>
      <c r="H29" s="19" t="str">
        <f>VLOOKUP(G29,干支!$A$2:$B$61,2,FALSE)</f>
        <v>甲戌</v>
      </c>
      <c r="J29" s="29">
        <f>B29-G29</f>
        <v>42532</v>
      </c>
      <c r="K29" s="29">
        <f>$B$29+(60-$G$29)</f>
        <v>42592</v>
      </c>
      <c r="L29" s="1">
        <f t="shared" si="5"/>
        <v>42532</v>
      </c>
      <c r="M29">
        <f t="shared" ref="M29:M31" si="6">L29-L28</f>
        <v>180</v>
      </c>
      <c r="N29" s="1">
        <f t="shared" ref="N29:N31" si="7">IF(M29=240,L29-30,L29)</f>
        <v>42532</v>
      </c>
      <c r="O29">
        <f>IF(M29=240,2,8)</f>
        <v>8</v>
      </c>
      <c r="P29" t="s">
        <v>226</v>
      </c>
    </row>
    <row r="30" spans="1:16" x14ac:dyDescent="0.2">
      <c r="A30" s="19" t="s">
        <v>208</v>
      </c>
      <c r="B30" s="29">
        <f t="shared" si="3"/>
        <v>42725</v>
      </c>
      <c r="C30" s="19">
        <f t="shared" si="0"/>
        <v>2016</v>
      </c>
      <c r="D30" s="19">
        <f t="shared" si="1"/>
        <v>12</v>
      </c>
      <c r="E30" s="19">
        <f t="shared" si="2"/>
        <v>21</v>
      </c>
      <c r="F30" s="19">
        <f>INT(365.25*(C30))+INT((C30)/400)-INT((C30)/100)+INT(30.59*(D30-2))+E30-678912</f>
        <v>57743</v>
      </c>
      <c r="G30" s="19">
        <f t="shared" si="4"/>
        <v>13</v>
      </c>
      <c r="H30" s="19" t="str">
        <f>VLOOKUP(G30,干支!$A$2:$B$61,2,FALSE)</f>
        <v>丁丑</v>
      </c>
      <c r="J30" s="29">
        <f>B30-G30</f>
        <v>42712</v>
      </c>
      <c r="K30" s="29">
        <f>$B$30+(60-$G$30)</f>
        <v>42772</v>
      </c>
      <c r="L30" s="1">
        <f t="shared" si="5"/>
        <v>42712</v>
      </c>
      <c r="M30">
        <f t="shared" si="6"/>
        <v>180</v>
      </c>
      <c r="N30" s="1">
        <f t="shared" si="7"/>
        <v>42712</v>
      </c>
      <c r="O30">
        <f>IF(M30=240,6,0)</f>
        <v>0</v>
      </c>
      <c r="P30" t="s">
        <v>225</v>
      </c>
    </row>
    <row r="31" spans="1:16" x14ac:dyDescent="0.2">
      <c r="A31" t="s">
        <v>209</v>
      </c>
      <c r="B31" s="29">
        <f t="shared" si="3"/>
        <v>42907</v>
      </c>
      <c r="C31">
        <f t="shared" si="0"/>
        <v>2017</v>
      </c>
      <c r="D31">
        <f t="shared" si="1"/>
        <v>6</v>
      </c>
      <c r="E31">
        <f t="shared" si="2"/>
        <v>21</v>
      </c>
      <c r="F31">
        <f>INT(365.25*(C31))+INT((C31)/400)-INT((C31)/100)+INT(30.59*(D31-2))+E31-678912</f>
        <v>57925</v>
      </c>
      <c r="G31">
        <f t="shared" si="4"/>
        <v>15</v>
      </c>
      <c r="H31" s="19" t="str">
        <f>VLOOKUP(G31,干支!$A$2:$B$61,2,FALSE)</f>
        <v>己卯</v>
      </c>
      <c r="J31" s="29">
        <f>B31-G31</f>
        <v>42892</v>
      </c>
      <c r="K31" s="29">
        <f>$B$31+(60-$G$31)</f>
        <v>42952</v>
      </c>
      <c r="L31" s="1">
        <f t="shared" si="5"/>
        <v>42892</v>
      </c>
      <c r="M31">
        <f t="shared" si="6"/>
        <v>180</v>
      </c>
      <c r="N31" s="1">
        <f t="shared" si="7"/>
        <v>42892</v>
      </c>
    </row>
    <row r="32" spans="1:16" x14ac:dyDescent="0.2">
      <c r="L32" s="2"/>
      <c r="M32" s="2"/>
    </row>
    <row r="33" spans="2:15" x14ac:dyDescent="0.2">
      <c r="B33" s="1"/>
      <c r="C33" s="1"/>
      <c r="D33" s="1"/>
      <c r="E33" s="1"/>
      <c r="L33" s="2"/>
      <c r="M33" s="2"/>
    </row>
    <row r="34" spans="2:15" x14ac:dyDescent="0.2">
      <c r="B34" s="1">
        <f>TOP!B1</f>
        <v>42395</v>
      </c>
      <c r="C34" s="50">
        <f>IF(B34&lt;N28,N27,IF(B34&lt;N29,N28,IF(B34&lt;N30,N29,IF(B34&lt;N31,N30,))))</f>
        <v>42352</v>
      </c>
      <c r="D34" s="50"/>
      <c r="E34" s="50"/>
      <c r="F34">
        <f>B34-C34</f>
        <v>43</v>
      </c>
      <c r="G34">
        <f>IF(C34=N27,O27,IF(C34=N28,O28,IF(C34=N29,O29,IF(C34=N30,O30,))))</f>
        <v>0</v>
      </c>
      <c r="H34">
        <f>IF(C34=N27,G34-F34,IF(C34=N28,G34+F34,IF(C34=N29,G34-F34,IF(C34=N30,G34+F34,))))</f>
        <v>43</v>
      </c>
      <c r="I34">
        <f>MOD(H34,9)</f>
        <v>7</v>
      </c>
      <c r="J34" t="str">
        <f>VLOOKUP(I34,I14:J22,2,FALSE)</f>
        <v>八白土星</v>
      </c>
      <c r="N34" s="2"/>
      <c r="O34" s="2"/>
    </row>
    <row r="35" spans="2:15" x14ac:dyDescent="0.2">
      <c r="B35" s="1"/>
      <c r="C35" s="1"/>
      <c r="D35" s="1"/>
      <c r="E35" s="1"/>
      <c r="L35" s="2"/>
      <c r="M35" s="2"/>
    </row>
    <row r="36" spans="2:15" x14ac:dyDescent="0.2">
      <c r="B36" s="1"/>
      <c r="C36" s="1"/>
      <c r="D36" s="1"/>
      <c r="E36" s="1"/>
      <c r="L36" s="2"/>
      <c r="M36" s="2"/>
    </row>
    <row r="37" spans="2:15" x14ac:dyDescent="0.2">
      <c r="B37" s="1"/>
      <c r="C37" s="1"/>
      <c r="D37" s="1"/>
      <c r="E37" s="1"/>
      <c r="L37" s="2"/>
      <c r="M37" s="2"/>
    </row>
    <row r="38" spans="2:15" x14ac:dyDescent="0.2">
      <c r="B38" s="1"/>
      <c r="C38" s="1"/>
      <c r="D38" s="1"/>
      <c r="E38" s="1"/>
      <c r="L38" s="2"/>
      <c r="M38" s="2"/>
    </row>
    <row r="39" spans="2:15" x14ac:dyDescent="0.2">
      <c r="B39" s="1"/>
      <c r="C39" s="1"/>
      <c r="D39" s="1"/>
      <c r="E39" s="1"/>
      <c r="L39" s="2"/>
      <c r="M39" s="2"/>
    </row>
    <row r="40" spans="2:15" x14ac:dyDescent="0.2">
      <c r="B40" s="1"/>
      <c r="C40" s="1"/>
      <c r="D40" s="1"/>
      <c r="E40" s="1"/>
      <c r="L40" s="2"/>
      <c r="M40" s="2"/>
    </row>
    <row r="41" spans="2:15" x14ac:dyDescent="0.2">
      <c r="B41" s="1"/>
      <c r="C41" s="1"/>
      <c r="D41" s="1"/>
      <c r="E41" s="1"/>
      <c r="L41" s="2"/>
      <c r="M41" s="2"/>
    </row>
    <row r="42" spans="2:15" x14ac:dyDescent="0.2">
      <c r="B42" s="1"/>
      <c r="C42" s="1"/>
      <c r="D42" s="1"/>
      <c r="E42" s="1"/>
      <c r="L42" s="2"/>
      <c r="M42" s="2"/>
    </row>
    <row r="43" spans="2:15" x14ac:dyDescent="0.2">
      <c r="B43" s="1"/>
      <c r="C43" s="1"/>
      <c r="D43" s="1"/>
      <c r="E43" s="1"/>
      <c r="L43" s="2"/>
      <c r="M43" s="2"/>
    </row>
    <row r="44" spans="2:15" x14ac:dyDescent="0.2">
      <c r="B44" s="1"/>
      <c r="C44" s="1"/>
      <c r="D44" s="1"/>
      <c r="E44" s="1"/>
      <c r="L44" s="2"/>
      <c r="M44" s="2"/>
    </row>
    <row r="45" spans="2:15" x14ac:dyDescent="0.2">
      <c r="B45" s="1"/>
      <c r="C45" s="1"/>
      <c r="D45" s="1"/>
      <c r="E45" s="1"/>
      <c r="L45" s="2"/>
      <c r="M45" s="2"/>
    </row>
    <row r="46" spans="2:15" x14ac:dyDescent="0.2">
      <c r="B46" s="1"/>
      <c r="C46" s="1"/>
      <c r="D46" s="1"/>
      <c r="E46" s="1"/>
      <c r="L46" s="2"/>
      <c r="M46" s="2"/>
    </row>
    <row r="47" spans="2:15" x14ac:dyDescent="0.2">
      <c r="B47" s="1"/>
      <c r="C47" s="1"/>
      <c r="D47" s="1"/>
      <c r="E47" s="1"/>
      <c r="L47" s="2"/>
      <c r="M47" s="2"/>
    </row>
    <row r="48" spans="2:15" x14ac:dyDescent="0.2">
      <c r="B48" s="1"/>
      <c r="C48" s="1"/>
      <c r="D48" s="1"/>
      <c r="E48" s="1"/>
      <c r="L48" s="2"/>
      <c r="M48" s="2"/>
    </row>
    <row r="49" spans="2:13" x14ac:dyDescent="0.2">
      <c r="B49" s="1"/>
      <c r="C49" s="1"/>
      <c r="D49" s="1"/>
      <c r="E49" s="1"/>
      <c r="L49" s="2"/>
      <c r="M49" s="2"/>
    </row>
    <row r="50" spans="2:13" x14ac:dyDescent="0.2">
      <c r="B50" s="1"/>
      <c r="C50" s="1"/>
      <c r="D50" s="1"/>
      <c r="E50" s="1"/>
      <c r="L50" s="2"/>
      <c r="M50" s="2"/>
    </row>
    <row r="51" spans="2:13" x14ac:dyDescent="0.2">
      <c r="B51" s="1"/>
      <c r="C51" s="1"/>
      <c r="D51" s="1"/>
      <c r="E51" s="1"/>
      <c r="L51" s="2"/>
      <c r="M51" s="2"/>
    </row>
    <row r="52" spans="2:13" x14ac:dyDescent="0.2">
      <c r="B52" s="1"/>
      <c r="C52" s="1"/>
      <c r="D52" s="1"/>
      <c r="E52" s="1"/>
      <c r="L52" s="2"/>
      <c r="M52" s="2"/>
    </row>
    <row r="53" spans="2:13" x14ac:dyDescent="0.2">
      <c r="B53" s="1"/>
      <c r="C53" s="1"/>
      <c r="D53" s="1"/>
      <c r="E53" s="1"/>
      <c r="L53" s="2"/>
      <c r="M53" s="2"/>
    </row>
    <row r="54" spans="2:13" x14ac:dyDescent="0.2">
      <c r="B54" s="1"/>
      <c r="C54" s="1"/>
      <c r="D54" s="1"/>
      <c r="E54" s="1"/>
      <c r="L54" s="2"/>
      <c r="M54" s="2"/>
    </row>
    <row r="55" spans="2:13" x14ac:dyDescent="0.2">
      <c r="B55" s="1"/>
      <c r="C55" s="1"/>
      <c r="D55" s="1"/>
      <c r="E55" s="1"/>
      <c r="L55" s="2"/>
      <c r="M55" s="2"/>
    </row>
    <row r="56" spans="2:13" x14ac:dyDescent="0.2">
      <c r="B56" s="1"/>
      <c r="C56" s="1"/>
      <c r="D56" s="1"/>
      <c r="E56" s="1"/>
      <c r="L56" s="2"/>
      <c r="M56" s="2"/>
    </row>
    <row r="57" spans="2:13" x14ac:dyDescent="0.2">
      <c r="B57" s="1"/>
      <c r="C57" s="1"/>
      <c r="D57" s="1"/>
      <c r="E57" s="1"/>
      <c r="L57" s="2"/>
      <c r="M57" s="2"/>
    </row>
    <row r="58" spans="2:13" x14ac:dyDescent="0.2">
      <c r="B58" s="1"/>
      <c r="C58" s="1"/>
      <c r="D58" s="1"/>
      <c r="E58" s="1"/>
      <c r="L58" s="2"/>
      <c r="M58" s="2"/>
    </row>
    <row r="59" spans="2:13" x14ac:dyDescent="0.2">
      <c r="B59" s="1"/>
      <c r="C59" s="1"/>
      <c r="D59" s="1"/>
      <c r="E59" s="1"/>
      <c r="L59" s="2"/>
      <c r="M59" s="2"/>
    </row>
    <row r="60" spans="2:13" x14ac:dyDescent="0.2">
      <c r="B60" s="1"/>
      <c r="C60" s="1"/>
      <c r="D60" s="1"/>
      <c r="E60" s="1"/>
      <c r="L60" s="2"/>
      <c r="M60" s="2"/>
    </row>
    <row r="61" spans="2:13" x14ac:dyDescent="0.2">
      <c r="B61" s="1"/>
      <c r="C61" s="1"/>
      <c r="D61" s="1"/>
      <c r="E61" s="1"/>
      <c r="L61" s="2"/>
      <c r="M61" s="2"/>
    </row>
    <row r="62" spans="2:13" x14ac:dyDescent="0.2">
      <c r="B62" s="1"/>
      <c r="C62" s="1"/>
      <c r="D62" s="1"/>
      <c r="E62" s="1"/>
      <c r="L62" s="2"/>
      <c r="M62" s="2"/>
    </row>
    <row r="63" spans="2:13" x14ac:dyDescent="0.2">
      <c r="B63" s="1"/>
      <c r="C63" s="1"/>
      <c r="D63" s="1"/>
      <c r="E63" s="1"/>
      <c r="L63" s="2"/>
      <c r="M63" s="2"/>
    </row>
    <row r="64" spans="2:13" x14ac:dyDescent="0.2">
      <c r="B64" s="1"/>
      <c r="C64" s="1"/>
      <c r="D64" s="1"/>
      <c r="E64" s="1"/>
      <c r="L64" s="2"/>
      <c r="M64" s="2"/>
    </row>
    <row r="65" spans="2:37" x14ac:dyDescent="0.2">
      <c r="B65" s="1"/>
      <c r="C65" s="1"/>
      <c r="D65" s="1"/>
      <c r="E65" s="1"/>
      <c r="L65" s="2"/>
      <c r="M65" s="2"/>
    </row>
    <row r="66" spans="2:37" x14ac:dyDescent="0.2">
      <c r="B66" s="1"/>
      <c r="C66" s="1"/>
      <c r="D66" s="1"/>
      <c r="E66" s="1"/>
      <c r="L66" s="2"/>
      <c r="M66" s="2"/>
    </row>
    <row r="67" spans="2:37" x14ac:dyDescent="0.2">
      <c r="T67" s="1">
        <v>35632</v>
      </c>
      <c r="V67">
        <f t="shared" ref="V67" si="8">YEAR(T67)</f>
        <v>1997</v>
      </c>
      <c r="W67">
        <f t="shared" ref="W67" si="9">MONTH(T67)</f>
        <v>7</v>
      </c>
      <c r="X67">
        <f t="shared" ref="X67" si="10">DAY(T67)</f>
        <v>21</v>
      </c>
      <c r="Y67">
        <f>IF(W67&lt;3,1,0)</f>
        <v>0</v>
      </c>
      <c r="Z67">
        <f>IF(W67&lt;3,12,0)</f>
        <v>0</v>
      </c>
      <c r="AA67">
        <v>70</v>
      </c>
      <c r="AB67">
        <f>INT(365.25*(V67-Y67))+INT((V67-Y67)/400)-INT((V67-Y67)/100)+INT(30.59*((W67+Z67)-2))+X67-678912</f>
        <v>50650</v>
      </c>
      <c r="AC67">
        <f>IF(MOD($AB67-AA67,360)&gt;179,((MOD($AB67-AA67,360))-((MOD($AB67-AA67,360))-179)-(((MOD($AB67-AA67,360))-179)-1)),MOD($AB67-AA67,360))</f>
        <v>179</v>
      </c>
      <c r="AD67">
        <f t="shared" ref="AD67:AD79" si="11">MOD(AC67,9)</f>
        <v>8</v>
      </c>
      <c r="AE67" t="str">
        <f t="shared" ref="AE67:AE79" si="12">VLOOKUP(AD67,$I$14:$J$22,2,FALSE)</f>
        <v>九紫火星</v>
      </c>
      <c r="AF67" s="1"/>
      <c r="AJ67" s="2"/>
      <c r="AK67" s="2"/>
    </row>
    <row r="68" spans="2:37" x14ac:dyDescent="0.2">
      <c r="T68" s="1">
        <v>39772</v>
      </c>
      <c r="V68">
        <f t="shared" ref="V68" si="13">YEAR(T68)</f>
        <v>2008</v>
      </c>
      <c r="W68">
        <f t="shared" ref="W68" si="14">MONTH(T68)</f>
        <v>11</v>
      </c>
      <c r="X68">
        <f t="shared" ref="X68" si="15">DAY(T68)</f>
        <v>20</v>
      </c>
      <c r="Y68">
        <f>IF(W68&lt;3,1,0)</f>
        <v>0</v>
      </c>
      <c r="Z68">
        <f>IF(W68&lt;3,12,0)</f>
        <v>0</v>
      </c>
      <c r="AA68">
        <v>106</v>
      </c>
      <c r="AB68">
        <f>INT(365.25*(V68-Y68))+INT((V68-Y68)/400)-INT((V68-Y68)/100)+INT(30.59*((W68+Z68)-2))+X68-678912</f>
        <v>54790</v>
      </c>
      <c r="AC68">
        <f>IF(MOD($AB68-AA68,360)&gt;179,((MOD($AB68-AA68,360))-((MOD($AB68-AA68,360))-179)-(((MOD($AB68-AA68,360))-179)-1)),MOD($AB68-AA68,360))</f>
        <v>35</v>
      </c>
      <c r="AD68">
        <f t="shared" si="11"/>
        <v>8</v>
      </c>
      <c r="AE68" t="str">
        <f t="shared" si="12"/>
        <v>九紫火星</v>
      </c>
      <c r="AF68" s="29"/>
      <c r="AG68" s="2"/>
      <c r="AH68" s="2"/>
    </row>
    <row r="69" spans="2:37" x14ac:dyDescent="0.2">
      <c r="T69" s="1">
        <v>39802</v>
      </c>
      <c r="V69">
        <f t="shared" ref="V69" si="16">YEAR(T69)</f>
        <v>2008</v>
      </c>
      <c r="W69">
        <f t="shared" ref="W69" si="17">MONTH(T69)</f>
        <v>12</v>
      </c>
      <c r="X69">
        <f t="shared" ref="X69" si="18">DAY(T69)</f>
        <v>20</v>
      </c>
      <c r="Y69">
        <f t="shared" ref="Y69" si="19">IF(W69&lt;3,1,0)</f>
        <v>0</v>
      </c>
      <c r="Z69">
        <f t="shared" ref="Z69" si="20">IF(W69&lt;3,12,0)</f>
        <v>0</v>
      </c>
      <c r="AA69">
        <v>94</v>
      </c>
      <c r="AB69">
        <f t="shared" ref="AB69" si="21">INT(365.25*(V69-Y69))+INT((V69-Y69)/400)-INT((V69-Y69)/100)+INT(30.59*((W69+Z69)-2))+X69-678912</f>
        <v>54820</v>
      </c>
      <c r="AC69">
        <f>IF(MOD($AB69-AA69,360)&gt;179,((MOD($AB69-AA69,360))-((MOD($AB69-AA69,360))-179)-(((MOD($AB69-AA69,360))-179)-1)),MOD($AB69-AA69,360))</f>
        <v>6</v>
      </c>
      <c r="AD69">
        <f t="shared" si="11"/>
        <v>6</v>
      </c>
      <c r="AE69" t="str">
        <f t="shared" si="12"/>
        <v>七赤金星</v>
      </c>
      <c r="AF69" s="1"/>
      <c r="AG69" s="2"/>
    </row>
    <row r="70" spans="2:37" x14ac:dyDescent="0.2">
      <c r="T70" s="1">
        <v>39832</v>
      </c>
      <c r="V70">
        <f t="shared" ref="V70" si="22">YEAR(T70)</f>
        <v>2009</v>
      </c>
      <c r="W70">
        <f t="shared" ref="W70" si="23">MONTH(T70)</f>
        <v>1</v>
      </c>
      <c r="X70">
        <f t="shared" ref="X70" si="24">DAY(T70)</f>
        <v>19</v>
      </c>
      <c r="Y70">
        <f t="shared" ref="Y70" si="25">IF(W70&lt;3,1,0)</f>
        <v>1</v>
      </c>
      <c r="Z70">
        <f t="shared" ref="Z70" si="26">IF(W70&lt;3,12,0)</f>
        <v>12</v>
      </c>
      <c r="AA70">
        <v>130</v>
      </c>
      <c r="AB70">
        <f t="shared" ref="AB70" si="27">INT(365.25*(V70-Y70))+INT((V70-Y70)/400)-INT((V70-Y70)/100)+INT(30.59*((W70+Z70)-2))+X70-678912</f>
        <v>54850</v>
      </c>
      <c r="AC70">
        <f t="shared" ref="AC70:AC79" si="28">IF(MOD($AB70-AA70,360)&gt;179,((MOD(AB70-AA70,360))-((MOD(AB70-AA70,360))-179)-(((MOD(AB70-AA70,360))-179)-1)),MOD(AB70-AA70,360))</f>
        <v>0</v>
      </c>
      <c r="AD70">
        <f t="shared" si="11"/>
        <v>0</v>
      </c>
      <c r="AE70" t="str">
        <f t="shared" si="12"/>
        <v>一白水星</v>
      </c>
      <c r="AF70" s="1"/>
      <c r="AG70" s="2"/>
    </row>
    <row r="71" spans="2:37" x14ac:dyDescent="0.2">
      <c r="T71" s="1">
        <v>43972</v>
      </c>
      <c r="V71">
        <f t="shared" ref="V71:V74" si="29">YEAR(T71)</f>
        <v>2020</v>
      </c>
      <c r="W71">
        <f t="shared" ref="W71:W74" si="30">MONTH(T71)</f>
        <v>5</v>
      </c>
      <c r="X71">
        <f t="shared" ref="X71:X74" si="31">DAY(T71)</f>
        <v>21</v>
      </c>
      <c r="Y71">
        <f t="shared" ref="Y71:Y74" si="32">IF(W71&lt;3,1,0)</f>
        <v>0</v>
      </c>
      <c r="Z71">
        <f t="shared" ref="Z71:Z74" si="33">IF(W71&lt;3,12,0)</f>
        <v>0</v>
      </c>
      <c r="AA71">
        <v>310</v>
      </c>
      <c r="AB71">
        <f t="shared" ref="AB71:AB74" si="34">INT(365.25*(V71-Y71))+INT((V71-Y71)/400)-INT((V71-Y71)/100)+INT(30.59*((W71+Z71)-2))+X71-678912</f>
        <v>58990</v>
      </c>
      <c r="AC71">
        <f t="shared" si="28"/>
        <v>0</v>
      </c>
      <c r="AD71">
        <f t="shared" si="11"/>
        <v>0</v>
      </c>
      <c r="AE71" t="str">
        <f t="shared" si="12"/>
        <v>一白水星</v>
      </c>
      <c r="AF71" s="1"/>
      <c r="AG71" s="2"/>
    </row>
    <row r="72" spans="2:37" x14ac:dyDescent="0.2">
      <c r="T72" s="1">
        <v>44002</v>
      </c>
      <c r="V72">
        <f t="shared" si="29"/>
        <v>2020</v>
      </c>
      <c r="W72">
        <f t="shared" si="30"/>
        <v>6</v>
      </c>
      <c r="X72">
        <f t="shared" si="31"/>
        <v>20</v>
      </c>
      <c r="Y72">
        <f t="shared" si="32"/>
        <v>0</v>
      </c>
      <c r="Z72">
        <f t="shared" si="33"/>
        <v>0</v>
      </c>
      <c r="AA72">
        <v>10</v>
      </c>
      <c r="AB72">
        <f t="shared" si="34"/>
        <v>59020</v>
      </c>
      <c r="AC72">
        <f t="shared" si="28"/>
        <v>29</v>
      </c>
      <c r="AD72">
        <f t="shared" si="11"/>
        <v>2</v>
      </c>
      <c r="AE72" t="str">
        <f t="shared" si="12"/>
        <v>三碧木星</v>
      </c>
    </row>
    <row r="73" spans="2:37" x14ac:dyDescent="0.2">
      <c r="T73" s="1">
        <v>44032</v>
      </c>
      <c r="V73">
        <f t="shared" si="29"/>
        <v>2020</v>
      </c>
      <c r="W73">
        <f t="shared" si="30"/>
        <v>7</v>
      </c>
      <c r="X73">
        <f t="shared" si="31"/>
        <v>20</v>
      </c>
      <c r="Y73">
        <f t="shared" si="32"/>
        <v>0</v>
      </c>
      <c r="Z73">
        <f t="shared" si="33"/>
        <v>0</v>
      </c>
      <c r="AA73">
        <v>190</v>
      </c>
      <c r="AB73">
        <f t="shared" si="34"/>
        <v>59050</v>
      </c>
      <c r="AC73">
        <f t="shared" si="28"/>
        <v>179</v>
      </c>
      <c r="AD73">
        <f t="shared" si="11"/>
        <v>8</v>
      </c>
      <c r="AE73" t="str">
        <f t="shared" si="12"/>
        <v>九紫火星</v>
      </c>
    </row>
    <row r="74" spans="2:37" x14ac:dyDescent="0.2">
      <c r="T74" s="30">
        <v>48172</v>
      </c>
      <c r="V74">
        <f t="shared" si="29"/>
        <v>2031</v>
      </c>
      <c r="W74">
        <f t="shared" si="30"/>
        <v>11</v>
      </c>
      <c r="X74">
        <f t="shared" si="31"/>
        <v>20</v>
      </c>
      <c r="Y74">
        <f t="shared" si="32"/>
        <v>0</v>
      </c>
      <c r="Z74">
        <f t="shared" si="33"/>
        <v>0</v>
      </c>
      <c r="AA74">
        <v>226</v>
      </c>
      <c r="AB74">
        <f t="shared" si="34"/>
        <v>63190</v>
      </c>
      <c r="AC74">
        <f t="shared" si="28"/>
        <v>35</v>
      </c>
      <c r="AD74">
        <f t="shared" si="11"/>
        <v>8</v>
      </c>
      <c r="AE74" t="str">
        <f t="shared" si="12"/>
        <v>九紫火星</v>
      </c>
    </row>
    <row r="75" spans="2:37" x14ac:dyDescent="0.2">
      <c r="T75" s="1">
        <v>48202</v>
      </c>
      <c r="V75">
        <f t="shared" ref="V75:V76" si="35">YEAR(T75)</f>
        <v>2031</v>
      </c>
      <c r="W75">
        <f t="shared" ref="W75:W76" si="36">MONTH(T75)</f>
        <v>12</v>
      </c>
      <c r="X75">
        <f t="shared" ref="X75:X76" si="37">DAY(T75)</f>
        <v>20</v>
      </c>
      <c r="Y75">
        <f t="shared" ref="Y75:Y76" si="38">IF(W75&lt;3,1,0)</f>
        <v>0</v>
      </c>
      <c r="Z75">
        <f t="shared" ref="Z75:Z76" si="39">IF(W75&lt;3,12,0)</f>
        <v>0</v>
      </c>
      <c r="AA75">
        <v>214</v>
      </c>
      <c r="AB75">
        <f t="shared" ref="AB75:AB76" si="40">INT(365.25*(V75-Y75))+INT((V75-Y75)/400)-INT((V75-Y75)/100)+INT(30.59*((W75+Z75)-2))+X75-678912</f>
        <v>63220</v>
      </c>
      <c r="AC75">
        <f t="shared" si="28"/>
        <v>6</v>
      </c>
      <c r="AD75">
        <f t="shared" si="11"/>
        <v>6</v>
      </c>
      <c r="AE75" t="str">
        <f t="shared" si="12"/>
        <v>七赤金星</v>
      </c>
    </row>
    <row r="76" spans="2:37" x14ac:dyDescent="0.2">
      <c r="T76" s="1">
        <v>48232</v>
      </c>
      <c r="V76">
        <f t="shared" si="35"/>
        <v>2032</v>
      </c>
      <c r="W76">
        <f t="shared" si="36"/>
        <v>1</v>
      </c>
      <c r="X76">
        <f t="shared" si="37"/>
        <v>19</v>
      </c>
      <c r="Y76">
        <f t="shared" si="38"/>
        <v>1</v>
      </c>
      <c r="Z76">
        <f t="shared" si="39"/>
        <v>12</v>
      </c>
      <c r="AA76">
        <v>250</v>
      </c>
      <c r="AB76">
        <f t="shared" si="40"/>
        <v>63250</v>
      </c>
      <c r="AC76">
        <f>IF(MOD($AB76-AA76,360)&gt;179,((MOD(AB76-AA76,360))-((MOD(AB76-AA76,360))-179)-(((MOD(AB76-AA76,360))-179)-1)),MOD(AB76-AA76,360))</f>
        <v>0</v>
      </c>
      <c r="AD76">
        <f t="shared" si="11"/>
        <v>0</v>
      </c>
      <c r="AE76" t="str">
        <f t="shared" si="12"/>
        <v>一白水星</v>
      </c>
    </row>
    <row r="77" spans="2:37" x14ac:dyDescent="0.2">
      <c r="T77" s="1">
        <v>52192</v>
      </c>
      <c r="V77">
        <f t="shared" ref="V77" si="41">YEAR(T77)</f>
        <v>2042</v>
      </c>
      <c r="W77">
        <f t="shared" ref="W77" si="42">MONTH(T77)</f>
        <v>11</v>
      </c>
      <c r="X77">
        <f t="shared" ref="X77" si="43">DAY(T77)</f>
        <v>22</v>
      </c>
      <c r="Y77">
        <f t="shared" ref="Y77" si="44">IF(W77&lt;3,1,0)</f>
        <v>0</v>
      </c>
      <c r="Z77">
        <f t="shared" ref="Z77" si="45">IF(W77&lt;3,12,0)</f>
        <v>0</v>
      </c>
      <c r="AA77">
        <v>286</v>
      </c>
      <c r="AB77">
        <f t="shared" ref="AB77" si="46">INT(365.25*(V77-Y77))+INT((V77-Y77)/400)-INT((V77-Y77)/100)+INT(30.59*((W77+Z77)-2))+X77-678912</f>
        <v>67210</v>
      </c>
      <c r="AC77">
        <f t="shared" si="28"/>
        <v>35</v>
      </c>
      <c r="AD77">
        <f t="shared" si="11"/>
        <v>8</v>
      </c>
      <c r="AE77" t="str">
        <f t="shared" si="12"/>
        <v>九紫火星</v>
      </c>
    </row>
    <row r="78" spans="2:37" x14ac:dyDescent="0.2">
      <c r="T78" s="1">
        <v>52222</v>
      </c>
      <c r="V78">
        <f t="shared" ref="V78:V79" si="47">YEAR(T78)</f>
        <v>2042</v>
      </c>
      <c r="W78">
        <f t="shared" ref="W78:W79" si="48">MONTH(T78)</f>
        <v>12</v>
      </c>
      <c r="X78">
        <f t="shared" ref="X78:X79" si="49">DAY(T78)</f>
        <v>22</v>
      </c>
      <c r="Y78">
        <f t="shared" ref="Y78:Y79" si="50">IF(W78&lt;3,1,0)</f>
        <v>0</v>
      </c>
      <c r="Z78">
        <f t="shared" ref="Z78:Z79" si="51">IF(W78&lt;3,12,0)</f>
        <v>0</v>
      </c>
      <c r="AA78">
        <v>274</v>
      </c>
      <c r="AB78">
        <f t="shared" ref="AB78:AB79" si="52">INT(365.25*(V78-Y78))+INT((V78-Y78)/400)-INT((V78-Y78)/100)+INT(30.59*((W78+Z78)-2))+X78-678912</f>
        <v>67240</v>
      </c>
      <c r="AC78">
        <f t="shared" si="28"/>
        <v>6</v>
      </c>
      <c r="AD78">
        <f t="shared" si="11"/>
        <v>6</v>
      </c>
      <c r="AE78" t="str">
        <f t="shared" si="12"/>
        <v>七赤金星</v>
      </c>
    </row>
    <row r="79" spans="2:37" x14ac:dyDescent="0.2">
      <c r="T79" s="1">
        <v>52252</v>
      </c>
      <c r="V79">
        <f t="shared" si="47"/>
        <v>2043</v>
      </c>
      <c r="W79">
        <f t="shared" si="48"/>
        <v>1</v>
      </c>
      <c r="X79">
        <f t="shared" si="49"/>
        <v>21</v>
      </c>
      <c r="Y79">
        <f t="shared" si="50"/>
        <v>1</v>
      </c>
      <c r="Z79">
        <f t="shared" si="51"/>
        <v>12</v>
      </c>
      <c r="AA79">
        <v>310</v>
      </c>
      <c r="AB79">
        <f t="shared" si="52"/>
        <v>67270</v>
      </c>
      <c r="AC79">
        <f t="shared" si="28"/>
        <v>0</v>
      </c>
      <c r="AD79">
        <f t="shared" si="11"/>
        <v>0</v>
      </c>
      <c r="AE79" t="str">
        <f t="shared" si="12"/>
        <v>一白水星</v>
      </c>
    </row>
    <row r="81" spans="2:31" x14ac:dyDescent="0.2">
      <c r="T81" s="1">
        <f>B34</f>
        <v>42395</v>
      </c>
      <c r="V81">
        <f t="shared" ref="V81" si="53">YEAR(T81)</f>
        <v>2016</v>
      </c>
      <c r="W81">
        <f t="shared" ref="W81" si="54">MONTH(T81)</f>
        <v>1</v>
      </c>
      <c r="X81">
        <f t="shared" ref="X81" si="55">DAY(T81)</f>
        <v>26</v>
      </c>
      <c r="Y81">
        <f t="shared" ref="Y81" si="56">IF(W81&lt;3,1,0)</f>
        <v>1</v>
      </c>
      <c r="Z81">
        <f t="shared" ref="Z81" si="57">IF(W81&lt;3,12,0)</f>
        <v>12</v>
      </c>
      <c r="AA81">
        <f>IF(T81&lt;T68,AA67,IF(T81&lt;T69,AA68,IF(T81&lt;T70,AA69,IF(T81&lt;T71,AA70,IF(T81&lt;T72,AA71,IF(T81&lt;T73,AA72,IF(T81&lt;T74,AA73,IF(T81&lt;T75,AA74,IF(T81&lt;T76,AA75,IF(T81&lt;T77,AA76,IF(T81&lt;T78,AA77,IF(T81&lt;T79,AA78,AA79))))))))))))</f>
        <v>130</v>
      </c>
      <c r="AB81">
        <f t="shared" ref="AB81" si="58">INT(365.25*(V81-Y81))+INT((V81-Y81)/400)-INT((V81-Y81)/100)+INT(30.59*((W81+Z81)-2))+X81-678912</f>
        <v>57413</v>
      </c>
      <c r="AC81">
        <f>IF(MOD($AB81-AA81,360)&gt;179,((MOD(AB81-AA81,360))-((MOD(AB81-AA81,360))-179)-(((MOD(AB81-AA81,360))-179)-1)),MOD(AB81-AA81,360))</f>
        <v>43</v>
      </c>
      <c r="AD81">
        <f>MOD(AC81,9)</f>
        <v>7</v>
      </c>
      <c r="AE81" t="str">
        <f>VLOOKUP(AD81,$I$14:$J$22,2,FALSE)</f>
        <v>八白土星</v>
      </c>
    </row>
    <row r="85" spans="2:31" x14ac:dyDescent="0.2">
      <c r="B85" s="1"/>
    </row>
    <row r="86" spans="2:31" x14ac:dyDescent="0.2">
      <c r="B86" s="1"/>
    </row>
  </sheetData>
  <mergeCells count="10">
    <mergeCell ref="A1:I1"/>
    <mergeCell ref="B3:I3"/>
    <mergeCell ref="C34:E34"/>
    <mergeCell ref="G25:H25"/>
    <mergeCell ref="B4:J4"/>
    <mergeCell ref="B6:J6"/>
    <mergeCell ref="B7:J7"/>
    <mergeCell ref="B8:J8"/>
    <mergeCell ref="B9:J9"/>
    <mergeCell ref="B5:J5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6"/>
  <sheetViews>
    <sheetView zoomScaleNormal="100" workbookViewId="0">
      <selection activeCell="A2" sqref="A2"/>
    </sheetView>
  </sheetViews>
  <sheetFormatPr defaultColWidth="9" defaultRowHeight="13.2" x14ac:dyDescent="0.2"/>
  <cols>
    <col min="1" max="1" width="11.6640625" style="3" bestFit="1" customWidth="1"/>
    <col min="2" max="2" width="4.88671875" style="3" customWidth="1"/>
    <col min="3" max="5" width="9" style="3"/>
    <col min="6" max="7" width="3.44140625" style="3" bestFit="1" customWidth="1"/>
    <col min="8" max="8" width="3.33203125" style="3" bestFit="1" customWidth="1"/>
    <col min="9" max="9" width="11.6640625" style="3" bestFit="1" customWidth="1"/>
    <col min="10" max="16384" width="9" style="3"/>
  </cols>
  <sheetData>
    <row r="1" spans="1:9" x14ac:dyDescent="0.2">
      <c r="A1" s="3">
        <f>YEAR(TOP!B1)</f>
        <v>2016</v>
      </c>
    </row>
    <row r="2" spans="1:9" x14ac:dyDescent="0.2">
      <c r="A2" s="9" t="s">
        <v>1</v>
      </c>
      <c r="B2" s="5" t="s">
        <v>0</v>
      </c>
      <c r="C2" s="6" t="s">
        <v>31</v>
      </c>
      <c r="D2" s="9" t="s">
        <v>32</v>
      </c>
      <c r="E2" s="9" t="s">
        <v>33</v>
      </c>
      <c r="F2" s="4" t="s">
        <v>0</v>
      </c>
      <c r="G2" s="4" t="s">
        <v>2</v>
      </c>
      <c r="H2" s="4" t="s">
        <v>34</v>
      </c>
    </row>
    <row r="3" spans="1:9" x14ac:dyDescent="0.2">
      <c r="A3" s="10">
        <f t="shared" ref="A3:A26" si="0">DATE($A$1,F3,G3)</f>
        <v>42375</v>
      </c>
      <c r="B3" s="7" t="s">
        <v>3</v>
      </c>
      <c r="C3" s="5" t="s">
        <v>4</v>
      </c>
      <c r="D3" s="6">
        <v>6.3811</v>
      </c>
      <c r="E3" s="6">
        <v>0.24277799999999999</v>
      </c>
      <c r="F3" s="5">
        <v>1</v>
      </c>
      <c r="G3" s="4">
        <f>INT(D3+(E3*(($A$1-1)-1900))-INT((($A$1-1)-1900)/4))</f>
        <v>6</v>
      </c>
      <c r="H3" s="8">
        <f t="shared" ref="H3:H26" si="1">DATE($A$1,F3,G3)</f>
        <v>42375</v>
      </c>
      <c r="I3" s="13">
        <f t="shared" ref="I3:I26" si="2">A3</f>
        <v>42375</v>
      </c>
    </row>
    <row r="4" spans="1:9" x14ac:dyDescent="0.2">
      <c r="A4" s="10">
        <f t="shared" si="0"/>
        <v>42390</v>
      </c>
      <c r="B4" s="7"/>
      <c r="C4" s="5" t="s">
        <v>5</v>
      </c>
      <c r="D4" s="6">
        <v>21.104600000000001</v>
      </c>
      <c r="E4" s="6">
        <v>0.24276500000000001</v>
      </c>
      <c r="F4" s="5">
        <v>1</v>
      </c>
      <c r="G4" s="4">
        <f>INT(D4+(E4*(($A$1-1)-1900))-INT((($A$1-1)-1900)/4))</f>
        <v>21</v>
      </c>
      <c r="H4" s="8">
        <f t="shared" si="1"/>
        <v>42390</v>
      </c>
      <c r="I4" s="13">
        <f t="shared" si="2"/>
        <v>42390</v>
      </c>
    </row>
    <row r="5" spans="1:9" x14ac:dyDescent="0.2">
      <c r="A5" s="10">
        <f t="shared" si="0"/>
        <v>42404</v>
      </c>
      <c r="B5" s="5"/>
      <c r="C5" s="5" t="s">
        <v>6</v>
      </c>
      <c r="D5" s="6">
        <v>4.8693</v>
      </c>
      <c r="E5" s="6">
        <v>0.24271300000000001</v>
      </c>
      <c r="F5" s="5">
        <v>2</v>
      </c>
      <c r="G5" s="4">
        <f>INT(D5+(E5*(($A$1-1)-1900))-INT((($A$1-1)-1900)/4))</f>
        <v>4</v>
      </c>
      <c r="H5" s="8">
        <f t="shared" si="1"/>
        <v>42404</v>
      </c>
      <c r="I5" s="13">
        <f t="shared" si="2"/>
        <v>42404</v>
      </c>
    </row>
    <row r="6" spans="1:9" x14ac:dyDescent="0.2">
      <c r="A6" s="10">
        <f t="shared" si="0"/>
        <v>42419</v>
      </c>
      <c r="B6" s="5"/>
      <c r="C6" s="5" t="s">
        <v>7</v>
      </c>
      <c r="D6" s="6">
        <v>19.706199999999999</v>
      </c>
      <c r="E6" s="6">
        <v>0.24262700000000001</v>
      </c>
      <c r="F6" s="5">
        <v>2</v>
      </c>
      <c r="G6" s="4">
        <f>INT(D6+(E6*(($A$1-1)-1900))-INT((($A$1-1)-1900)/4))</f>
        <v>19</v>
      </c>
      <c r="H6" s="8">
        <f t="shared" si="1"/>
        <v>42419</v>
      </c>
      <c r="I6" s="13">
        <f t="shared" si="2"/>
        <v>42419</v>
      </c>
    </row>
    <row r="7" spans="1:9" x14ac:dyDescent="0.2">
      <c r="A7" s="10">
        <f t="shared" si="0"/>
        <v>42434</v>
      </c>
      <c r="B7" s="5" t="s">
        <v>265</v>
      </c>
      <c r="C7" s="5" t="s">
        <v>8</v>
      </c>
      <c r="D7" s="6">
        <v>6.3967999999999998</v>
      </c>
      <c r="E7" s="6">
        <v>0.24251200000000001</v>
      </c>
      <c r="F7" s="5">
        <v>3</v>
      </c>
      <c r="G7" s="4">
        <f t="shared" ref="G7:G26" si="3">INT(D7+(E7*(($A$1)-1900))-INT((($A$1)-1900)/4))</f>
        <v>5</v>
      </c>
      <c r="H7" s="8">
        <f t="shared" si="1"/>
        <v>42434</v>
      </c>
      <c r="I7" s="13">
        <f t="shared" si="2"/>
        <v>42434</v>
      </c>
    </row>
    <row r="8" spans="1:9" x14ac:dyDescent="0.2">
      <c r="A8" s="10">
        <f t="shared" si="0"/>
        <v>42449</v>
      </c>
      <c r="B8" s="5"/>
      <c r="C8" s="5" t="s">
        <v>9</v>
      </c>
      <c r="D8" s="6">
        <v>21.447099999999999</v>
      </c>
      <c r="E8" s="6">
        <v>0.24237700000000001</v>
      </c>
      <c r="F8" s="5">
        <v>3</v>
      </c>
      <c r="G8" s="4">
        <f t="shared" si="3"/>
        <v>20</v>
      </c>
      <c r="H8" s="8">
        <f t="shared" si="1"/>
        <v>42449</v>
      </c>
      <c r="I8" s="13">
        <f t="shared" si="2"/>
        <v>42449</v>
      </c>
    </row>
    <row r="9" spans="1:9" x14ac:dyDescent="0.2">
      <c r="A9" s="10">
        <f t="shared" si="0"/>
        <v>42464</v>
      </c>
      <c r="B9" s="5" t="s">
        <v>29</v>
      </c>
      <c r="C9" s="5" t="s">
        <v>10</v>
      </c>
      <c r="D9" s="6">
        <v>5.6280000000000001</v>
      </c>
      <c r="E9" s="6">
        <v>0.242231</v>
      </c>
      <c r="F9" s="5">
        <v>4</v>
      </c>
      <c r="G9" s="4">
        <f t="shared" si="3"/>
        <v>4</v>
      </c>
      <c r="H9" s="8">
        <f t="shared" si="1"/>
        <v>42464</v>
      </c>
      <c r="I9" s="13">
        <f t="shared" si="2"/>
        <v>42464</v>
      </c>
    </row>
    <row r="10" spans="1:9" x14ac:dyDescent="0.2">
      <c r="A10" s="10">
        <f t="shared" si="0"/>
        <v>42480</v>
      </c>
      <c r="B10" s="5"/>
      <c r="C10" s="5" t="s">
        <v>11</v>
      </c>
      <c r="D10" s="6">
        <v>20.9375</v>
      </c>
      <c r="E10" s="6">
        <v>0.24208299999999999</v>
      </c>
      <c r="F10" s="5">
        <v>4</v>
      </c>
      <c r="G10" s="4">
        <f t="shared" si="3"/>
        <v>20</v>
      </c>
      <c r="H10" s="8">
        <f t="shared" si="1"/>
        <v>42480</v>
      </c>
      <c r="I10" s="13">
        <f t="shared" si="2"/>
        <v>42480</v>
      </c>
    </row>
    <row r="11" spans="1:9" x14ac:dyDescent="0.2">
      <c r="A11" s="10">
        <f t="shared" si="0"/>
        <v>42495</v>
      </c>
      <c r="B11" s="5"/>
      <c r="C11" s="5" t="s">
        <v>12</v>
      </c>
      <c r="D11" s="6">
        <v>6.3771000000000004</v>
      </c>
      <c r="E11" s="6">
        <v>0.24194499999999999</v>
      </c>
      <c r="F11" s="5">
        <v>5</v>
      </c>
      <c r="G11" s="4">
        <f t="shared" si="3"/>
        <v>5</v>
      </c>
      <c r="H11" s="8">
        <f t="shared" si="1"/>
        <v>42495</v>
      </c>
      <c r="I11" s="13">
        <f t="shared" si="2"/>
        <v>42495</v>
      </c>
    </row>
    <row r="12" spans="1:9" x14ac:dyDescent="0.2">
      <c r="A12" s="10">
        <f t="shared" si="0"/>
        <v>42510</v>
      </c>
      <c r="B12" s="5"/>
      <c r="C12" s="5" t="s">
        <v>13</v>
      </c>
      <c r="D12" s="6">
        <v>21.93</v>
      </c>
      <c r="E12" s="6">
        <v>0.24182500000000001</v>
      </c>
      <c r="F12" s="5">
        <v>5</v>
      </c>
      <c r="G12" s="4">
        <f t="shared" si="3"/>
        <v>20</v>
      </c>
      <c r="H12" s="8">
        <f t="shared" si="1"/>
        <v>42510</v>
      </c>
      <c r="I12" s="13">
        <f t="shared" si="2"/>
        <v>42510</v>
      </c>
    </row>
    <row r="13" spans="1:9" x14ac:dyDescent="0.2">
      <c r="A13" s="10">
        <f t="shared" si="0"/>
        <v>42526</v>
      </c>
      <c r="B13" s="5" t="s">
        <v>30</v>
      </c>
      <c r="C13" s="5" t="s">
        <v>14</v>
      </c>
      <c r="D13" s="6">
        <v>6.5732999999999997</v>
      </c>
      <c r="E13" s="6">
        <v>0.241731</v>
      </c>
      <c r="F13" s="5">
        <v>6</v>
      </c>
      <c r="G13" s="4">
        <f t="shared" si="3"/>
        <v>5</v>
      </c>
      <c r="H13" s="8">
        <f t="shared" si="1"/>
        <v>42526</v>
      </c>
      <c r="I13" s="13">
        <f t="shared" si="2"/>
        <v>42526</v>
      </c>
    </row>
    <row r="14" spans="1:9" x14ac:dyDescent="0.2">
      <c r="A14" s="10">
        <f t="shared" si="0"/>
        <v>42542</v>
      </c>
      <c r="B14" s="5"/>
      <c r="C14" s="5" t="s">
        <v>15</v>
      </c>
      <c r="D14" s="6">
        <v>22.274699999999999</v>
      </c>
      <c r="E14" s="6">
        <v>0.24166899999999997</v>
      </c>
      <c r="F14" s="5">
        <v>6</v>
      </c>
      <c r="G14" s="4">
        <f t="shared" si="3"/>
        <v>21</v>
      </c>
      <c r="H14" s="8">
        <f t="shared" si="1"/>
        <v>42542</v>
      </c>
      <c r="I14" s="13">
        <f t="shared" si="2"/>
        <v>42542</v>
      </c>
    </row>
    <row r="15" spans="1:9" x14ac:dyDescent="0.2">
      <c r="A15" s="10">
        <f t="shared" si="0"/>
        <v>42558</v>
      </c>
      <c r="B15" s="5"/>
      <c r="C15" s="5" t="s">
        <v>16</v>
      </c>
      <c r="D15" s="6">
        <v>8.0091000000000001</v>
      </c>
      <c r="E15" s="6">
        <v>0.241642</v>
      </c>
      <c r="F15" s="5">
        <v>7</v>
      </c>
      <c r="G15" s="4">
        <f t="shared" si="3"/>
        <v>7</v>
      </c>
      <c r="H15" s="8">
        <f t="shared" si="1"/>
        <v>42558</v>
      </c>
      <c r="I15" s="13">
        <f t="shared" si="2"/>
        <v>42558</v>
      </c>
    </row>
    <row r="16" spans="1:9" x14ac:dyDescent="0.2">
      <c r="A16" s="10">
        <f t="shared" si="0"/>
        <v>42573</v>
      </c>
      <c r="B16" s="5"/>
      <c r="C16" s="5" t="s">
        <v>17</v>
      </c>
      <c r="D16" s="6">
        <v>23.7317</v>
      </c>
      <c r="E16" s="6">
        <v>0.24165400000000001</v>
      </c>
      <c r="F16" s="5">
        <v>7</v>
      </c>
      <c r="G16" s="4">
        <f t="shared" si="3"/>
        <v>22</v>
      </c>
      <c r="H16" s="8">
        <f t="shared" si="1"/>
        <v>42573</v>
      </c>
      <c r="I16" s="13">
        <f t="shared" si="2"/>
        <v>42573</v>
      </c>
    </row>
    <row r="17" spans="1:9" x14ac:dyDescent="0.2">
      <c r="A17" s="10">
        <f t="shared" si="0"/>
        <v>42589</v>
      </c>
      <c r="B17" s="5" t="s">
        <v>266</v>
      </c>
      <c r="C17" s="5" t="s">
        <v>18</v>
      </c>
      <c r="D17" s="6">
        <v>8.4101999999999997</v>
      </c>
      <c r="E17" s="6">
        <v>0.241703</v>
      </c>
      <c r="F17" s="5">
        <v>8</v>
      </c>
      <c r="G17" s="4">
        <f t="shared" si="3"/>
        <v>7</v>
      </c>
      <c r="H17" s="8">
        <f t="shared" si="1"/>
        <v>42589</v>
      </c>
      <c r="I17" s="13">
        <f t="shared" si="2"/>
        <v>42589</v>
      </c>
    </row>
    <row r="18" spans="1:9" x14ac:dyDescent="0.2">
      <c r="A18" s="10">
        <f t="shared" si="0"/>
        <v>42605</v>
      </c>
      <c r="B18" s="5"/>
      <c r="C18" s="5" t="s">
        <v>19</v>
      </c>
      <c r="D18" s="6">
        <v>24.012499999999999</v>
      </c>
      <c r="E18" s="6">
        <v>0.241786</v>
      </c>
      <c r="F18" s="5">
        <v>8</v>
      </c>
      <c r="G18" s="4">
        <f t="shared" si="3"/>
        <v>23</v>
      </c>
      <c r="H18" s="8">
        <f t="shared" si="1"/>
        <v>42605</v>
      </c>
      <c r="I18" s="13">
        <f t="shared" si="2"/>
        <v>42605</v>
      </c>
    </row>
    <row r="19" spans="1:9" x14ac:dyDescent="0.2">
      <c r="A19" s="10">
        <f t="shared" si="0"/>
        <v>42620</v>
      </c>
      <c r="B19" s="5" t="s">
        <v>267</v>
      </c>
      <c r="C19" s="5" t="s">
        <v>20</v>
      </c>
      <c r="D19" s="6">
        <v>8.5185999999999993</v>
      </c>
      <c r="E19" s="6">
        <v>0.241898</v>
      </c>
      <c r="F19" s="5">
        <v>9</v>
      </c>
      <c r="G19" s="4">
        <f t="shared" si="3"/>
        <v>7</v>
      </c>
      <c r="H19" s="8">
        <f t="shared" si="1"/>
        <v>42620</v>
      </c>
      <c r="I19" s="13">
        <f t="shared" si="2"/>
        <v>42620</v>
      </c>
    </row>
    <row r="20" spans="1:9" x14ac:dyDescent="0.2">
      <c r="A20" s="10">
        <f t="shared" si="0"/>
        <v>42635</v>
      </c>
      <c r="B20" s="5"/>
      <c r="C20" s="5" t="s">
        <v>21</v>
      </c>
      <c r="D20" s="6">
        <v>23.889600000000002</v>
      </c>
      <c r="E20" s="6">
        <v>0.242032</v>
      </c>
      <c r="F20" s="5">
        <v>9</v>
      </c>
      <c r="G20" s="4">
        <f t="shared" si="3"/>
        <v>22</v>
      </c>
      <c r="H20" s="8">
        <f t="shared" si="1"/>
        <v>42635</v>
      </c>
      <c r="I20" s="13">
        <f t="shared" si="2"/>
        <v>42635</v>
      </c>
    </row>
    <row r="21" spans="1:9" x14ac:dyDescent="0.2">
      <c r="A21" s="10">
        <f t="shared" si="0"/>
        <v>42651</v>
      </c>
      <c r="B21" s="5" t="s">
        <v>268</v>
      </c>
      <c r="C21" s="5" t="s">
        <v>22</v>
      </c>
      <c r="D21" s="6">
        <v>9.1414000000000009</v>
      </c>
      <c r="E21" s="6">
        <v>0.24217900000000001</v>
      </c>
      <c r="F21" s="5">
        <v>10</v>
      </c>
      <c r="G21" s="4">
        <f t="shared" si="3"/>
        <v>8</v>
      </c>
      <c r="H21" s="8">
        <f t="shared" si="1"/>
        <v>42651</v>
      </c>
      <c r="I21" s="13">
        <f t="shared" si="2"/>
        <v>42651</v>
      </c>
    </row>
    <row r="22" spans="1:9" x14ac:dyDescent="0.2">
      <c r="A22" s="10">
        <f t="shared" si="0"/>
        <v>42666</v>
      </c>
      <c r="B22" s="5"/>
      <c r="C22" s="5" t="s">
        <v>23</v>
      </c>
      <c r="D22" s="6">
        <v>24.248699999999999</v>
      </c>
      <c r="E22" s="6">
        <v>0.24232799999999999</v>
      </c>
      <c r="F22" s="5">
        <v>10</v>
      </c>
      <c r="G22" s="4">
        <f t="shared" si="3"/>
        <v>23</v>
      </c>
      <c r="H22" s="8">
        <f t="shared" si="1"/>
        <v>42666</v>
      </c>
      <c r="I22" s="13">
        <f t="shared" si="2"/>
        <v>42666</v>
      </c>
    </row>
    <row r="23" spans="1:9" x14ac:dyDescent="0.2">
      <c r="A23" s="10">
        <f t="shared" si="0"/>
        <v>42681</v>
      </c>
      <c r="B23" s="5" t="s">
        <v>269</v>
      </c>
      <c r="C23" s="5" t="s">
        <v>24</v>
      </c>
      <c r="D23" s="6">
        <v>8.2395999999999994</v>
      </c>
      <c r="E23" s="6">
        <v>0.24246899999999999</v>
      </c>
      <c r="F23" s="5">
        <v>11</v>
      </c>
      <c r="G23" s="4">
        <f t="shared" si="3"/>
        <v>7</v>
      </c>
      <c r="H23" s="8">
        <f t="shared" si="1"/>
        <v>42681</v>
      </c>
      <c r="I23" s="13">
        <f t="shared" si="2"/>
        <v>42681</v>
      </c>
    </row>
    <row r="24" spans="1:9" x14ac:dyDescent="0.2">
      <c r="A24" s="10">
        <f t="shared" si="0"/>
        <v>42696</v>
      </c>
      <c r="B24" s="5"/>
      <c r="C24" s="5" t="s">
        <v>25</v>
      </c>
      <c r="D24" s="6">
        <v>23.1189</v>
      </c>
      <c r="E24" s="6">
        <v>0.242592</v>
      </c>
      <c r="F24" s="5">
        <v>11</v>
      </c>
      <c r="G24" s="4">
        <f t="shared" si="3"/>
        <v>22</v>
      </c>
      <c r="H24" s="8">
        <f t="shared" si="1"/>
        <v>42696</v>
      </c>
      <c r="I24" s="13">
        <f t="shared" si="2"/>
        <v>42696</v>
      </c>
    </row>
    <row r="25" spans="1:9" x14ac:dyDescent="0.2">
      <c r="A25" s="10">
        <f t="shared" si="0"/>
        <v>42711</v>
      </c>
      <c r="B25" s="5" t="s">
        <v>270</v>
      </c>
      <c r="C25" s="5" t="s">
        <v>26</v>
      </c>
      <c r="D25" s="6">
        <v>7.9151999999999996</v>
      </c>
      <c r="E25" s="6">
        <v>0.24268899999999999</v>
      </c>
      <c r="F25" s="5">
        <v>12</v>
      </c>
      <c r="G25" s="4">
        <f t="shared" si="3"/>
        <v>7</v>
      </c>
      <c r="H25" s="8">
        <f t="shared" si="1"/>
        <v>42711</v>
      </c>
      <c r="I25" s="13">
        <f t="shared" si="2"/>
        <v>42711</v>
      </c>
    </row>
    <row r="26" spans="1:9" x14ac:dyDescent="0.2">
      <c r="A26" s="10">
        <f t="shared" si="0"/>
        <v>42725</v>
      </c>
      <c r="B26" s="5"/>
      <c r="C26" s="5" t="s">
        <v>27</v>
      </c>
      <c r="D26" s="6">
        <v>22.6587</v>
      </c>
      <c r="E26" s="6">
        <v>0.242752</v>
      </c>
      <c r="F26" s="5">
        <v>12</v>
      </c>
      <c r="G26" s="4">
        <f t="shared" si="3"/>
        <v>21</v>
      </c>
      <c r="H26" s="8">
        <f t="shared" si="1"/>
        <v>42725</v>
      </c>
      <c r="I26" s="13">
        <f t="shared" si="2"/>
        <v>42725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8"/>
  <sheetViews>
    <sheetView zoomScaleNormal="100" workbookViewId="0">
      <pane ySplit="1" topLeftCell="A2" activePane="bottomLeft" state="frozen"/>
      <selection pane="bottomLeft" activeCell="I9" sqref="I9"/>
    </sheetView>
  </sheetViews>
  <sheetFormatPr defaultRowHeight="13.2" x14ac:dyDescent="0.2"/>
  <cols>
    <col min="2" max="2" width="7.21875" bestFit="1" customWidth="1"/>
    <col min="3" max="3" width="3.6640625" customWidth="1"/>
    <col min="5" max="6" width="5.21875" bestFit="1" customWidth="1"/>
    <col min="8" max="8" width="7.109375" bestFit="1" customWidth="1"/>
  </cols>
  <sheetData>
    <row r="1" spans="1:8" x14ac:dyDescent="0.2">
      <c r="A1" s="3" t="s">
        <v>35</v>
      </c>
      <c r="B1" s="3" t="s">
        <v>36</v>
      </c>
      <c r="C1" s="20"/>
      <c r="D1" s="47" t="s">
        <v>161</v>
      </c>
      <c r="E1" s="47" t="s">
        <v>164</v>
      </c>
      <c r="F1" s="47" t="s">
        <v>163</v>
      </c>
      <c r="G1" s="47" t="s">
        <v>162</v>
      </c>
      <c r="H1" s="47" t="s">
        <v>129</v>
      </c>
    </row>
    <row r="2" spans="1:8" x14ac:dyDescent="0.2">
      <c r="A2" s="3">
        <v>0</v>
      </c>
      <c r="B2" s="3" t="s">
        <v>41</v>
      </c>
      <c r="C2" s="20"/>
      <c r="D2" s="11">
        <v>1984</v>
      </c>
      <c r="E2">
        <v>1</v>
      </c>
      <c r="F2" t="s">
        <v>41</v>
      </c>
      <c r="G2" t="s">
        <v>160</v>
      </c>
      <c r="H2" t="s">
        <v>103</v>
      </c>
    </row>
    <row r="3" spans="1:8" x14ac:dyDescent="0.2">
      <c r="A3" s="3">
        <v>1</v>
      </c>
      <c r="B3" s="3" t="s">
        <v>42</v>
      </c>
      <c r="C3" s="20"/>
      <c r="D3" s="11">
        <v>1985</v>
      </c>
      <c r="E3">
        <v>2</v>
      </c>
      <c r="F3" t="s">
        <v>42</v>
      </c>
      <c r="G3" t="s">
        <v>159</v>
      </c>
      <c r="H3" t="s">
        <v>101</v>
      </c>
    </row>
    <row r="4" spans="1:8" x14ac:dyDescent="0.2">
      <c r="A4" s="3">
        <v>2</v>
      </c>
      <c r="B4" s="3" t="s">
        <v>43</v>
      </c>
      <c r="C4" s="20"/>
      <c r="D4" s="11">
        <v>1986</v>
      </c>
      <c r="E4">
        <v>3</v>
      </c>
      <c r="F4" t="s">
        <v>43</v>
      </c>
      <c r="G4" t="s">
        <v>158</v>
      </c>
      <c r="H4" t="s">
        <v>96</v>
      </c>
    </row>
    <row r="5" spans="1:8" x14ac:dyDescent="0.2">
      <c r="A5" s="3">
        <v>3</v>
      </c>
      <c r="B5" s="3" t="s">
        <v>44</v>
      </c>
      <c r="C5" s="20"/>
      <c r="D5" s="11">
        <v>1987</v>
      </c>
      <c r="E5">
        <v>4</v>
      </c>
      <c r="F5" t="s">
        <v>44</v>
      </c>
      <c r="G5" t="s">
        <v>157</v>
      </c>
      <c r="H5" t="s">
        <v>98</v>
      </c>
    </row>
    <row r="6" spans="1:8" x14ac:dyDescent="0.2">
      <c r="A6" s="3">
        <v>4</v>
      </c>
      <c r="B6" s="3" t="s">
        <v>45</v>
      </c>
      <c r="C6" s="20"/>
      <c r="D6" s="11">
        <v>1988</v>
      </c>
      <c r="E6">
        <v>5</v>
      </c>
      <c r="F6" t="s">
        <v>45</v>
      </c>
      <c r="G6" t="s">
        <v>156</v>
      </c>
      <c r="H6" t="s">
        <v>96</v>
      </c>
    </row>
    <row r="7" spans="1:8" x14ac:dyDescent="0.2">
      <c r="A7" s="3">
        <v>5</v>
      </c>
      <c r="B7" s="3" t="s">
        <v>46</v>
      </c>
      <c r="C7" s="20"/>
      <c r="D7" s="11">
        <v>1989</v>
      </c>
      <c r="E7">
        <v>6</v>
      </c>
      <c r="F7" t="s">
        <v>46</v>
      </c>
      <c r="G7" t="s">
        <v>155</v>
      </c>
      <c r="H7" t="s">
        <v>103</v>
      </c>
    </row>
    <row r="8" spans="1:8" x14ac:dyDescent="0.2">
      <c r="A8" s="3">
        <v>6</v>
      </c>
      <c r="B8" s="3" t="s">
        <v>47</v>
      </c>
      <c r="C8" s="20"/>
      <c r="D8" s="11">
        <v>1990</v>
      </c>
      <c r="E8">
        <v>7</v>
      </c>
      <c r="F8" t="s">
        <v>47</v>
      </c>
      <c r="G8" t="s">
        <v>154</v>
      </c>
      <c r="H8" t="s">
        <v>101</v>
      </c>
    </row>
    <row r="9" spans="1:8" x14ac:dyDescent="0.2">
      <c r="A9" s="3">
        <v>7</v>
      </c>
      <c r="B9" s="3" t="s">
        <v>48</v>
      </c>
      <c r="C9" s="20"/>
      <c r="D9" s="11">
        <v>1991</v>
      </c>
      <c r="E9">
        <v>8</v>
      </c>
      <c r="F9" t="s">
        <v>48</v>
      </c>
      <c r="G9" t="s">
        <v>153</v>
      </c>
      <c r="H9" t="s">
        <v>96</v>
      </c>
    </row>
    <row r="10" spans="1:8" x14ac:dyDescent="0.2">
      <c r="A10" s="3">
        <v>8</v>
      </c>
      <c r="B10" s="3" t="s">
        <v>49</v>
      </c>
      <c r="C10" s="20"/>
      <c r="D10" s="11">
        <v>1992</v>
      </c>
      <c r="E10">
        <v>9</v>
      </c>
      <c r="F10" t="s">
        <v>49</v>
      </c>
      <c r="G10" t="s">
        <v>152</v>
      </c>
      <c r="H10" t="s">
        <v>98</v>
      </c>
    </row>
    <row r="11" spans="1:8" x14ac:dyDescent="0.2">
      <c r="A11" s="3">
        <v>9</v>
      </c>
      <c r="B11" s="3" t="s">
        <v>50</v>
      </c>
      <c r="C11" s="20"/>
      <c r="D11" s="11">
        <v>1993</v>
      </c>
      <c r="E11">
        <v>10</v>
      </c>
      <c r="F11" t="s">
        <v>50</v>
      </c>
      <c r="G11" t="s">
        <v>151</v>
      </c>
      <c r="H11" t="s">
        <v>96</v>
      </c>
    </row>
    <row r="12" spans="1:8" x14ac:dyDescent="0.2">
      <c r="A12" s="3">
        <v>10</v>
      </c>
      <c r="B12" s="3" t="s">
        <v>51</v>
      </c>
      <c r="C12" s="20"/>
      <c r="D12" s="11">
        <v>1994</v>
      </c>
      <c r="E12">
        <v>11</v>
      </c>
      <c r="F12" t="s">
        <v>51</v>
      </c>
      <c r="G12" t="s">
        <v>150</v>
      </c>
      <c r="H12" t="s">
        <v>103</v>
      </c>
    </row>
    <row r="13" spans="1:8" x14ac:dyDescent="0.2">
      <c r="A13" s="3">
        <v>11</v>
      </c>
      <c r="B13" s="3" t="s">
        <v>52</v>
      </c>
      <c r="D13" s="11">
        <v>1995</v>
      </c>
      <c r="E13">
        <v>12</v>
      </c>
      <c r="F13" t="s">
        <v>52</v>
      </c>
      <c r="G13" t="s">
        <v>149</v>
      </c>
      <c r="H13" t="s">
        <v>101</v>
      </c>
    </row>
    <row r="14" spans="1:8" x14ac:dyDescent="0.2">
      <c r="A14" s="3">
        <v>12</v>
      </c>
      <c r="B14" s="3" t="s">
        <v>53</v>
      </c>
      <c r="D14" s="11">
        <v>1996</v>
      </c>
      <c r="E14">
        <v>13</v>
      </c>
      <c r="F14" t="s">
        <v>53</v>
      </c>
      <c r="G14" t="s">
        <v>148</v>
      </c>
      <c r="H14" t="s">
        <v>96</v>
      </c>
    </row>
    <row r="15" spans="1:8" x14ac:dyDescent="0.2">
      <c r="A15" s="3">
        <v>13</v>
      </c>
      <c r="B15" s="3" t="s">
        <v>54</v>
      </c>
      <c r="D15" s="11">
        <v>1997</v>
      </c>
      <c r="E15">
        <v>14</v>
      </c>
      <c r="F15" t="s">
        <v>54</v>
      </c>
      <c r="G15" t="s">
        <v>147</v>
      </c>
      <c r="H15" t="s">
        <v>98</v>
      </c>
    </row>
    <row r="16" spans="1:8" x14ac:dyDescent="0.2">
      <c r="A16">
        <v>14</v>
      </c>
      <c r="B16" t="s">
        <v>55</v>
      </c>
      <c r="D16" s="11">
        <v>1998</v>
      </c>
      <c r="E16">
        <v>15</v>
      </c>
      <c r="F16" t="s">
        <v>55</v>
      </c>
      <c r="G16" t="s">
        <v>146</v>
      </c>
      <c r="H16" t="s">
        <v>96</v>
      </c>
    </row>
    <row r="17" spans="1:8" x14ac:dyDescent="0.2">
      <c r="A17">
        <v>15</v>
      </c>
      <c r="B17" t="s">
        <v>56</v>
      </c>
      <c r="D17" s="11">
        <v>1999</v>
      </c>
      <c r="E17">
        <v>16</v>
      </c>
      <c r="F17" t="s">
        <v>56</v>
      </c>
      <c r="G17" t="s">
        <v>145</v>
      </c>
      <c r="H17" t="s">
        <v>103</v>
      </c>
    </row>
    <row r="18" spans="1:8" x14ac:dyDescent="0.2">
      <c r="A18">
        <v>16</v>
      </c>
      <c r="B18" t="s">
        <v>57</v>
      </c>
      <c r="D18" s="11">
        <v>2000</v>
      </c>
      <c r="E18">
        <v>17</v>
      </c>
      <c r="F18" t="s">
        <v>57</v>
      </c>
      <c r="G18" t="s">
        <v>144</v>
      </c>
      <c r="H18" t="s">
        <v>101</v>
      </c>
    </row>
    <row r="19" spans="1:8" x14ac:dyDescent="0.2">
      <c r="A19">
        <v>17</v>
      </c>
      <c r="B19" t="s">
        <v>58</v>
      </c>
      <c r="D19" s="11">
        <v>2001</v>
      </c>
      <c r="E19">
        <v>18</v>
      </c>
      <c r="F19" t="s">
        <v>58</v>
      </c>
      <c r="G19" t="s">
        <v>143</v>
      </c>
      <c r="H19" t="s">
        <v>96</v>
      </c>
    </row>
    <row r="20" spans="1:8" x14ac:dyDescent="0.2">
      <c r="A20">
        <v>18</v>
      </c>
      <c r="B20" t="s">
        <v>59</v>
      </c>
      <c r="D20" s="11">
        <v>2002</v>
      </c>
      <c r="E20">
        <v>19</v>
      </c>
      <c r="F20" t="s">
        <v>59</v>
      </c>
      <c r="G20" t="s">
        <v>142</v>
      </c>
      <c r="H20" t="s">
        <v>98</v>
      </c>
    </row>
    <row r="21" spans="1:8" x14ac:dyDescent="0.2">
      <c r="A21">
        <v>19</v>
      </c>
      <c r="B21" t="s">
        <v>60</v>
      </c>
      <c r="D21" s="11">
        <v>2003</v>
      </c>
      <c r="E21">
        <v>20</v>
      </c>
      <c r="F21" t="s">
        <v>60</v>
      </c>
      <c r="G21" t="s">
        <v>141</v>
      </c>
      <c r="H21" t="s">
        <v>96</v>
      </c>
    </row>
    <row r="22" spans="1:8" x14ac:dyDescent="0.2">
      <c r="A22">
        <v>20</v>
      </c>
      <c r="B22" t="s">
        <v>61</v>
      </c>
      <c r="D22" s="11">
        <v>2004</v>
      </c>
      <c r="E22">
        <v>21</v>
      </c>
      <c r="F22" t="s">
        <v>61</v>
      </c>
      <c r="G22" t="s">
        <v>140</v>
      </c>
      <c r="H22" t="s">
        <v>103</v>
      </c>
    </row>
    <row r="23" spans="1:8" x14ac:dyDescent="0.2">
      <c r="A23">
        <v>21</v>
      </c>
      <c r="B23" t="s">
        <v>62</v>
      </c>
      <c r="D23" s="11">
        <v>2005</v>
      </c>
      <c r="E23">
        <v>22</v>
      </c>
      <c r="F23" t="s">
        <v>62</v>
      </c>
      <c r="G23" t="s">
        <v>139</v>
      </c>
      <c r="H23" t="s">
        <v>101</v>
      </c>
    </row>
    <row r="24" spans="1:8" x14ac:dyDescent="0.2">
      <c r="A24">
        <v>22</v>
      </c>
      <c r="B24" t="s">
        <v>63</v>
      </c>
      <c r="D24" s="11">
        <v>2006</v>
      </c>
      <c r="E24">
        <v>23</v>
      </c>
      <c r="F24" t="s">
        <v>63</v>
      </c>
      <c r="G24" t="s">
        <v>138</v>
      </c>
      <c r="H24" t="s">
        <v>96</v>
      </c>
    </row>
    <row r="25" spans="1:8" x14ac:dyDescent="0.2">
      <c r="A25">
        <v>23</v>
      </c>
      <c r="B25" t="s">
        <v>64</v>
      </c>
      <c r="D25" s="11">
        <v>2007</v>
      </c>
      <c r="E25">
        <v>24</v>
      </c>
      <c r="F25" t="s">
        <v>64</v>
      </c>
      <c r="G25" t="s">
        <v>137</v>
      </c>
      <c r="H25" t="s">
        <v>98</v>
      </c>
    </row>
    <row r="26" spans="1:8" x14ac:dyDescent="0.2">
      <c r="A26">
        <v>24</v>
      </c>
      <c r="B26" t="s">
        <v>65</v>
      </c>
      <c r="D26" s="11">
        <v>2008</v>
      </c>
      <c r="E26">
        <v>25</v>
      </c>
      <c r="F26" t="s">
        <v>65</v>
      </c>
      <c r="G26" t="s">
        <v>136</v>
      </c>
      <c r="H26" t="s">
        <v>96</v>
      </c>
    </row>
    <row r="27" spans="1:8" x14ac:dyDescent="0.2">
      <c r="A27">
        <v>25</v>
      </c>
      <c r="B27" t="s">
        <v>66</v>
      </c>
      <c r="D27" s="11">
        <v>2009</v>
      </c>
      <c r="E27">
        <v>26</v>
      </c>
      <c r="F27" t="s">
        <v>66</v>
      </c>
      <c r="G27" t="s">
        <v>135</v>
      </c>
      <c r="H27" t="s">
        <v>103</v>
      </c>
    </row>
    <row r="28" spans="1:8" x14ac:dyDescent="0.2">
      <c r="A28">
        <v>26</v>
      </c>
      <c r="B28" t="s">
        <v>67</v>
      </c>
      <c r="D28" s="11">
        <v>2010</v>
      </c>
      <c r="E28">
        <v>27</v>
      </c>
      <c r="F28" t="s">
        <v>67</v>
      </c>
      <c r="G28" t="s">
        <v>134</v>
      </c>
      <c r="H28" t="s">
        <v>101</v>
      </c>
    </row>
    <row r="29" spans="1:8" x14ac:dyDescent="0.2">
      <c r="A29">
        <v>27</v>
      </c>
      <c r="B29" t="s">
        <v>68</v>
      </c>
      <c r="D29" s="11">
        <v>2011</v>
      </c>
      <c r="E29">
        <v>28</v>
      </c>
      <c r="F29" t="s">
        <v>68</v>
      </c>
      <c r="G29" t="s">
        <v>133</v>
      </c>
      <c r="H29" t="s">
        <v>96</v>
      </c>
    </row>
    <row r="30" spans="1:8" x14ac:dyDescent="0.2">
      <c r="A30">
        <v>28</v>
      </c>
      <c r="B30" t="s">
        <v>69</v>
      </c>
      <c r="D30" s="11">
        <v>2012</v>
      </c>
      <c r="E30">
        <v>29</v>
      </c>
      <c r="F30" t="s">
        <v>69</v>
      </c>
      <c r="G30" t="s">
        <v>132</v>
      </c>
      <c r="H30" t="s">
        <v>98</v>
      </c>
    </row>
    <row r="31" spans="1:8" x14ac:dyDescent="0.2">
      <c r="A31">
        <v>29</v>
      </c>
      <c r="B31" t="s">
        <v>70</v>
      </c>
      <c r="D31" s="11">
        <v>2013</v>
      </c>
      <c r="E31">
        <v>30</v>
      </c>
      <c r="F31" t="s">
        <v>70</v>
      </c>
      <c r="G31" t="s">
        <v>131</v>
      </c>
      <c r="H31" t="s">
        <v>96</v>
      </c>
    </row>
    <row r="32" spans="1:8" x14ac:dyDescent="0.2">
      <c r="A32">
        <v>30</v>
      </c>
      <c r="B32" t="s">
        <v>71</v>
      </c>
      <c r="C32">
        <v>1</v>
      </c>
      <c r="D32" s="11">
        <v>2014</v>
      </c>
      <c r="E32">
        <v>31</v>
      </c>
      <c r="F32" t="s">
        <v>71</v>
      </c>
      <c r="G32" t="s">
        <v>130</v>
      </c>
      <c r="H32" t="s">
        <v>103</v>
      </c>
    </row>
    <row r="33" spans="1:8" x14ac:dyDescent="0.2">
      <c r="A33">
        <v>31</v>
      </c>
      <c r="B33" t="s">
        <v>72</v>
      </c>
      <c r="C33">
        <v>2</v>
      </c>
      <c r="D33" s="11">
        <v>2015</v>
      </c>
      <c r="E33">
        <v>32</v>
      </c>
      <c r="F33" t="s">
        <v>72</v>
      </c>
      <c r="G33" t="s">
        <v>128</v>
      </c>
      <c r="H33" t="s">
        <v>101</v>
      </c>
    </row>
    <row r="34" spans="1:8" x14ac:dyDescent="0.2">
      <c r="A34">
        <v>32</v>
      </c>
      <c r="B34" t="s">
        <v>73</v>
      </c>
      <c r="C34">
        <v>3</v>
      </c>
      <c r="D34" s="11">
        <v>2016</v>
      </c>
      <c r="E34">
        <v>33</v>
      </c>
      <c r="F34" t="s">
        <v>73</v>
      </c>
      <c r="G34" t="s">
        <v>127</v>
      </c>
      <c r="H34" t="s">
        <v>96</v>
      </c>
    </row>
    <row r="35" spans="1:8" x14ac:dyDescent="0.2">
      <c r="A35">
        <v>33</v>
      </c>
      <c r="B35" t="s">
        <v>74</v>
      </c>
      <c r="C35">
        <v>4</v>
      </c>
      <c r="D35" s="11">
        <v>2017</v>
      </c>
      <c r="E35">
        <v>34</v>
      </c>
      <c r="F35" t="s">
        <v>74</v>
      </c>
      <c r="G35" t="s">
        <v>126</v>
      </c>
      <c r="H35" t="s">
        <v>98</v>
      </c>
    </row>
    <row r="36" spans="1:8" x14ac:dyDescent="0.2">
      <c r="A36">
        <v>34</v>
      </c>
      <c r="B36" t="s">
        <v>75</v>
      </c>
      <c r="C36">
        <v>5</v>
      </c>
      <c r="D36" s="11">
        <v>2018</v>
      </c>
      <c r="E36">
        <v>35</v>
      </c>
      <c r="F36" t="s">
        <v>75</v>
      </c>
      <c r="G36" t="s">
        <v>125</v>
      </c>
      <c r="H36" t="s">
        <v>96</v>
      </c>
    </row>
    <row r="37" spans="1:8" x14ac:dyDescent="0.2">
      <c r="A37">
        <v>35</v>
      </c>
      <c r="B37" t="s">
        <v>76</v>
      </c>
      <c r="C37">
        <v>6</v>
      </c>
      <c r="D37" s="11">
        <v>2019</v>
      </c>
      <c r="E37">
        <v>36</v>
      </c>
      <c r="F37" t="s">
        <v>76</v>
      </c>
      <c r="G37" t="s">
        <v>124</v>
      </c>
      <c r="H37" t="s">
        <v>103</v>
      </c>
    </row>
    <row r="38" spans="1:8" x14ac:dyDescent="0.2">
      <c r="A38">
        <v>36</v>
      </c>
      <c r="B38" t="s">
        <v>77</v>
      </c>
      <c r="C38">
        <v>7</v>
      </c>
      <c r="D38" s="11">
        <v>2020</v>
      </c>
      <c r="E38">
        <v>37</v>
      </c>
      <c r="F38" t="s">
        <v>77</v>
      </c>
      <c r="G38" t="s">
        <v>123</v>
      </c>
      <c r="H38" t="s">
        <v>101</v>
      </c>
    </row>
    <row r="39" spans="1:8" x14ac:dyDescent="0.2">
      <c r="A39">
        <v>37</v>
      </c>
      <c r="B39" t="s">
        <v>261</v>
      </c>
      <c r="C39">
        <v>8</v>
      </c>
      <c r="D39" s="11">
        <v>2021</v>
      </c>
      <c r="E39">
        <v>38</v>
      </c>
      <c r="F39" t="s">
        <v>78</v>
      </c>
      <c r="G39" t="s">
        <v>122</v>
      </c>
      <c r="H39" t="s">
        <v>96</v>
      </c>
    </row>
    <row r="40" spans="1:8" x14ac:dyDescent="0.2">
      <c r="A40">
        <v>38</v>
      </c>
      <c r="B40" t="s">
        <v>79</v>
      </c>
      <c r="C40">
        <v>9</v>
      </c>
      <c r="D40" s="11">
        <v>2022</v>
      </c>
      <c r="E40">
        <v>39</v>
      </c>
      <c r="F40" t="s">
        <v>79</v>
      </c>
      <c r="G40" t="s">
        <v>121</v>
      </c>
      <c r="H40" t="s">
        <v>98</v>
      </c>
    </row>
    <row r="41" spans="1:8" x14ac:dyDescent="0.2">
      <c r="A41">
        <v>39</v>
      </c>
      <c r="B41" t="s">
        <v>80</v>
      </c>
      <c r="C41">
        <v>10</v>
      </c>
      <c r="D41" s="11">
        <v>2023</v>
      </c>
      <c r="E41">
        <v>40</v>
      </c>
      <c r="F41" t="s">
        <v>80</v>
      </c>
      <c r="G41" t="s">
        <v>120</v>
      </c>
      <c r="H41" t="s">
        <v>96</v>
      </c>
    </row>
    <row r="42" spans="1:8" x14ac:dyDescent="0.2">
      <c r="A42">
        <v>40</v>
      </c>
      <c r="B42" t="s">
        <v>81</v>
      </c>
      <c r="C42">
        <v>11</v>
      </c>
      <c r="D42" s="11">
        <v>2024</v>
      </c>
      <c r="E42">
        <v>41</v>
      </c>
      <c r="F42" t="s">
        <v>81</v>
      </c>
      <c r="G42" t="s">
        <v>119</v>
      </c>
      <c r="H42" t="s">
        <v>103</v>
      </c>
    </row>
    <row r="43" spans="1:8" x14ac:dyDescent="0.2">
      <c r="A43">
        <v>41</v>
      </c>
      <c r="B43" t="s">
        <v>82</v>
      </c>
      <c r="C43">
        <v>12</v>
      </c>
      <c r="D43" s="11">
        <v>2025</v>
      </c>
      <c r="E43">
        <v>42</v>
      </c>
      <c r="F43" t="s">
        <v>82</v>
      </c>
      <c r="G43" t="s">
        <v>118</v>
      </c>
      <c r="H43" t="s">
        <v>101</v>
      </c>
    </row>
    <row r="44" spans="1:8" x14ac:dyDescent="0.2">
      <c r="A44">
        <v>42</v>
      </c>
      <c r="B44" t="s">
        <v>262</v>
      </c>
      <c r="C44">
        <v>13</v>
      </c>
      <c r="D44" s="11">
        <v>2026</v>
      </c>
      <c r="E44">
        <v>43</v>
      </c>
      <c r="F44" t="s">
        <v>263</v>
      </c>
      <c r="G44" t="s">
        <v>117</v>
      </c>
      <c r="H44" t="s">
        <v>96</v>
      </c>
    </row>
    <row r="45" spans="1:8" x14ac:dyDescent="0.2">
      <c r="A45">
        <v>43</v>
      </c>
      <c r="B45" t="s">
        <v>83</v>
      </c>
      <c r="C45">
        <v>14</v>
      </c>
      <c r="D45" s="11">
        <v>2027</v>
      </c>
      <c r="E45">
        <v>44</v>
      </c>
      <c r="F45" t="s">
        <v>83</v>
      </c>
      <c r="G45" t="s">
        <v>116</v>
      </c>
      <c r="H45" t="s">
        <v>98</v>
      </c>
    </row>
    <row r="46" spans="1:8" x14ac:dyDescent="0.2">
      <c r="A46">
        <v>44</v>
      </c>
      <c r="B46" t="s">
        <v>84</v>
      </c>
      <c r="C46">
        <v>15</v>
      </c>
      <c r="D46" s="11">
        <v>2028</v>
      </c>
      <c r="E46">
        <v>45</v>
      </c>
      <c r="F46" t="s">
        <v>84</v>
      </c>
      <c r="G46" t="s">
        <v>115</v>
      </c>
      <c r="H46" t="s">
        <v>96</v>
      </c>
    </row>
    <row r="47" spans="1:8" x14ac:dyDescent="0.2">
      <c r="A47">
        <v>45</v>
      </c>
      <c r="B47" t="s">
        <v>85</v>
      </c>
      <c r="C47">
        <v>16</v>
      </c>
      <c r="D47" s="11">
        <v>2029</v>
      </c>
      <c r="E47">
        <v>46</v>
      </c>
      <c r="F47" t="s">
        <v>85</v>
      </c>
      <c r="G47" t="s">
        <v>114</v>
      </c>
      <c r="H47" t="s">
        <v>103</v>
      </c>
    </row>
    <row r="48" spans="1:8" x14ac:dyDescent="0.2">
      <c r="A48">
        <v>46</v>
      </c>
      <c r="B48" t="s">
        <v>86</v>
      </c>
      <c r="C48">
        <v>17</v>
      </c>
      <c r="D48" s="11">
        <v>2030</v>
      </c>
      <c r="E48">
        <v>47</v>
      </c>
      <c r="F48" t="s">
        <v>86</v>
      </c>
      <c r="G48" t="s">
        <v>113</v>
      </c>
      <c r="H48" t="s">
        <v>101</v>
      </c>
    </row>
    <row r="49" spans="1:8" x14ac:dyDescent="0.2">
      <c r="A49">
        <v>47</v>
      </c>
      <c r="B49" t="s">
        <v>87</v>
      </c>
      <c r="C49">
        <v>18</v>
      </c>
      <c r="D49" s="11">
        <v>2031</v>
      </c>
      <c r="E49">
        <v>48</v>
      </c>
      <c r="F49" t="s">
        <v>87</v>
      </c>
      <c r="G49" t="s">
        <v>112</v>
      </c>
      <c r="H49" t="s">
        <v>96</v>
      </c>
    </row>
    <row r="50" spans="1:8" x14ac:dyDescent="0.2">
      <c r="A50">
        <v>48</v>
      </c>
      <c r="B50" t="s">
        <v>88</v>
      </c>
      <c r="C50">
        <v>19</v>
      </c>
      <c r="D50" s="11">
        <v>2032</v>
      </c>
      <c r="E50">
        <v>49</v>
      </c>
      <c r="F50" t="s">
        <v>88</v>
      </c>
      <c r="G50" t="s">
        <v>111</v>
      </c>
      <c r="H50" t="s">
        <v>98</v>
      </c>
    </row>
    <row r="51" spans="1:8" x14ac:dyDescent="0.2">
      <c r="A51">
        <v>49</v>
      </c>
      <c r="B51" t="s">
        <v>89</v>
      </c>
      <c r="C51">
        <v>20</v>
      </c>
      <c r="D51" s="11">
        <v>2033</v>
      </c>
      <c r="E51">
        <v>50</v>
      </c>
      <c r="F51" t="s">
        <v>89</v>
      </c>
      <c r="G51" t="s">
        <v>110</v>
      </c>
      <c r="H51" t="s">
        <v>96</v>
      </c>
    </row>
    <row r="52" spans="1:8" x14ac:dyDescent="0.2">
      <c r="A52">
        <v>50</v>
      </c>
      <c r="B52" t="s">
        <v>37</v>
      </c>
      <c r="C52">
        <v>21</v>
      </c>
      <c r="D52" s="11">
        <v>2034</v>
      </c>
      <c r="E52">
        <v>51</v>
      </c>
      <c r="F52" t="s">
        <v>37</v>
      </c>
      <c r="G52" t="s">
        <v>109</v>
      </c>
      <c r="H52" t="s">
        <v>103</v>
      </c>
    </row>
    <row r="53" spans="1:8" x14ac:dyDescent="0.2">
      <c r="A53">
        <v>51</v>
      </c>
      <c r="B53" t="s">
        <v>38</v>
      </c>
      <c r="C53">
        <v>22</v>
      </c>
      <c r="D53" s="11">
        <v>2035</v>
      </c>
      <c r="E53">
        <v>52</v>
      </c>
      <c r="F53" t="s">
        <v>38</v>
      </c>
      <c r="G53" t="s">
        <v>108</v>
      </c>
      <c r="H53" t="s">
        <v>101</v>
      </c>
    </row>
    <row r="54" spans="1:8" x14ac:dyDescent="0.2">
      <c r="A54">
        <v>52</v>
      </c>
      <c r="B54" t="s">
        <v>39</v>
      </c>
      <c r="C54">
        <v>23</v>
      </c>
      <c r="D54" s="11">
        <v>2036</v>
      </c>
      <c r="E54">
        <v>53</v>
      </c>
      <c r="F54" t="s">
        <v>39</v>
      </c>
      <c r="G54" t="s">
        <v>107</v>
      </c>
      <c r="H54" t="s">
        <v>96</v>
      </c>
    </row>
    <row r="55" spans="1:8" x14ac:dyDescent="0.2">
      <c r="A55">
        <v>53</v>
      </c>
      <c r="B55" t="s">
        <v>40</v>
      </c>
      <c r="C55">
        <v>24</v>
      </c>
      <c r="D55" s="11">
        <v>2037</v>
      </c>
      <c r="E55">
        <v>54</v>
      </c>
      <c r="F55" t="s">
        <v>40</v>
      </c>
      <c r="G55" t="s">
        <v>106</v>
      </c>
      <c r="H55" t="s">
        <v>98</v>
      </c>
    </row>
    <row r="56" spans="1:8" x14ac:dyDescent="0.2">
      <c r="A56">
        <v>54</v>
      </c>
      <c r="B56" t="s">
        <v>90</v>
      </c>
      <c r="C56">
        <v>25</v>
      </c>
      <c r="D56" s="11">
        <v>2038</v>
      </c>
      <c r="E56">
        <v>55</v>
      </c>
      <c r="F56" t="s">
        <v>90</v>
      </c>
      <c r="G56" t="s">
        <v>105</v>
      </c>
      <c r="H56" t="s">
        <v>96</v>
      </c>
    </row>
    <row r="57" spans="1:8" x14ac:dyDescent="0.2">
      <c r="A57">
        <v>55</v>
      </c>
      <c r="B57" t="s">
        <v>91</v>
      </c>
      <c r="C57">
        <v>26</v>
      </c>
      <c r="D57" s="11">
        <v>2039</v>
      </c>
      <c r="E57">
        <v>56</v>
      </c>
      <c r="F57" t="s">
        <v>91</v>
      </c>
      <c r="G57" t="s">
        <v>104</v>
      </c>
      <c r="H57" t="s">
        <v>103</v>
      </c>
    </row>
    <row r="58" spans="1:8" x14ac:dyDescent="0.2">
      <c r="A58">
        <v>56</v>
      </c>
      <c r="B58" t="s">
        <v>92</v>
      </c>
      <c r="C58">
        <v>27</v>
      </c>
      <c r="D58" s="11">
        <v>2040</v>
      </c>
      <c r="E58">
        <v>57</v>
      </c>
      <c r="F58" t="s">
        <v>92</v>
      </c>
      <c r="G58" t="s">
        <v>102</v>
      </c>
      <c r="H58" t="s">
        <v>101</v>
      </c>
    </row>
    <row r="59" spans="1:8" x14ac:dyDescent="0.2">
      <c r="A59">
        <v>57</v>
      </c>
      <c r="B59" t="s">
        <v>93</v>
      </c>
      <c r="C59">
        <v>28</v>
      </c>
      <c r="D59" s="11">
        <v>2041</v>
      </c>
      <c r="E59">
        <v>58</v>
      </c>
      <c r="F59" t="s">
        <v>93</v>
      </c>
      <c r="G59" t="s">
        <v>100</v>
      </c>
      <c r="H59" t="s">
        <v>96</v>
      </c>
    </row>
    <row r="60" spans="1:8" x14ac:dyDescent="0.2">
      <c r="A60">
        <v>58</v>
      </c>
      <c r="B60" t="s">
        <v>94</v>
      </c>
      <c r="C60">
        <v>29</v>
      </c>
      <c r="D60" s="11">
        <v>2042</v>
      </c>
      <c r="E60">
        <v>59</v>
      </c>
      <c r="F60" t="s">
        <v>94</v>
      </c>
      <c r="G60" t="s">
        <v>99</v>
      </c>
      <c r="H60" t="s">
        <v>98</v>
      </c>
    </row>
    <row r="61" spans="1:8" x14ac:dyDescent="0.2">
      <c r="A61">
        <v>59</v>
      </c>
      <c r="B61" t="s">
        <v>95</v>
      </c>
      <c r="C61">
        <v>30</v>
      </c>
      <c r="D61" s="11">
        <v>2043</v>
      </c>
      <c r="E61">
        <v>60</v>
      </c>
      <c r="F61" t="s">
        <v>264</v>
      </c>
      <c r="G61" t="s">
        <v>97</v>
      </c>
      <c r="H61" t="s">
        <v>96</v>
      </c>
    </row>
    <row r="62" spans="1:8" x14ac:dyDescent="0.2">
      <c r="D62" s="11">
        <v>2044</v>
      </c>
      <c r="F62" t="s">
        <v>41</v>
      </c>
      <c r="G62" t="s">
        <v>160</v>
      </c>
    </row>
    <row r="63" spans="1:8" x14ac:dyDescent="0.2">
      <c r="D63" s="11">
        <v>2045</v>
      </c>
      <c r="F63" t="s">
        <v>42</v>
      </c>
      <c r="G63" t="s">
        <v>159</v>
      </c>
    </row>
    <row r="64" spans="1:8" x14ac:dyDescent="0.2">
      <c r="D64" s="11">
        <v>2046</v>
      </c>
      <c r="F64" t="s">
        <v>43</v>
      </c>
      <c r="G64" t="s">
        <v>158</v>
      </c>
    </row>
    <row r="65" spans="4:7" x14ac:dyDescent="0.2">
      <c r="D65" s="11">
        <v>2047</v>
      </c>
      <c r="F65" t="s">
        <v>44</v>
      </c>
      <c r="G65" t="s">
        <v>157</v>
      </c>
    </row>
    <row r="66" spans="4:7" x14ac:dyDescent="0.2">
      <c r="D66" s="11">
        <v>2048</v>
      </c>
      <c r="F66" t="s">
        <v>45</v>
      </c>
      <c r="G66" t="s">
        <v>156</v>
      </c>
    </row>
    <row r="67" spans="4:7" x14ac:dyDescent="0.2">
      <c r="D67" s="11">
        <v>2049</v>
      </c>
      <c r="F67" t="s">
        <v>46</v>
      </c>
      <c r="G67" t="s">
        <v>155</v>
      </c>
    </row>
    <row r="68" spans="4:7" x14ac:dyDescent="0.2">
      <c r="D68" s="11">
        <v>2050</v>
      </c>
      <c r="F68" t="s">
        <v>47</v>
      </c>
      <c r="G68" t="s">
        <v>154</v>
      </c>
    </row>
  </sheetData>
  <autoFilter ref="A1:B61" xr:uid="{00000000-0009-0000-0000-000004000000}"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R28"/>
  <sheetViews>
    <sheetView showGridLines="0" workbookViewId="0">
      <selection activeCell="O9" sqref="O9:Q9"/>
    </sheetView>
  </sheetViews>
  <sheetFormatPr defaultColWidth="5.44140625" defaultRowHeight="33.75" customHeight="1" x14ac:dyDescent="0.2"/>
  <cols>
    <col min="2" max="2" width="3.33203125" bestFit="1" customWidth="1"/>
    <col min="6" max="6" width="3.33203125" bestFit="1" customWidth="1"/>
    <col min="7" max="8" width="3.33203125" customWidth="1"/>
    <col min="12" max="14" width="3.33203125" customWidth="1"/>
  </cols>
  <sheetData>
    <row r="2" spans="2:18" ht="13.2" x14ac:dyDescent="0.2">
      <c r="C2" s="53" t="s">
        <v>241</v>
      </c>
      <c r="D2" s="53"/>
      <c r="E2" s="53"/>
    </row>
    <row r="3" spans="2:18" ht="13.2" x14ac:dyDescent="0.2">
      <c r="C3" s="44"/>
      <c r="D3" s="44" t="s">
        <v>243</v>
      </c>
      <c r="E3" s="44"/>
    </row>
    <row r="4" spans="2:18" ht="33.75" customHeight="1" x14ac:dyDescent="0.2">
      <c r="C4" s="43">
        <v>4</v>
      </c>
      <c r="D4" s="43">
        <v>9</v>
      </c>
      <c r="E4" s="43">
        <v>2</v>
      </c>
    </row>
    <row r="5" spans="2:18" ht="33.75" customHeight="1" x14ac:dyDescent="0.2">
      <c r="B5" t="s">
        <v>244</v>
      </c>
      <c r="C5" s="43">
        <v>3</v>
      </c>
      <c r="D5" s="43">
        <v>5</v>
      </c>
      <c r="E5" s="43">
        <v>7</v>
      </c>
      <c r="F5" t="s">
        <v>245</v>
      </c>
    </row>
    <row r="6" spans="2:18" ht="33.75" customHeight="1" x14ac:dyDescent="0.2">
      <c r="C6" s="43">
        <v>8</v>
      </c>
      <c r="D6" s="43">
        <v>1</v>
      </c>
      <c r="E6" s="43">
        <v>6</v>
      </c>
    </row>
    <row r="7" spans="2:18" ht="13.2" x14ac:dyDescent="0.2">
      <c r="D7" s="42" t="s">
        <v>242</v>
      </c>
    </row>
    <row r="8" spans="2:18" ht="15" customHeight="1" x14ac:dyDescent="0.2"/>
    <row r="9" spans="2:18" ht="13.2" x14ac:dyDescent="0.2">
      <c r="C9" s="51" t="s">
        <v>178</v>
      </c>
      <c r="D9" s="51"/>
      <c r="E9" s="51"/>
      <c r="I9" s="51" t="s">
        <v>180</v>
      </c>
      <c r="J9" s="51"/>
      <c r="K9" s="51"/>
      <c r="O9" s="51" t="s">
        <v>182</v>
      </c>
      <c r="P9" s="51"/>
      <c r="Q9" s="51"/>
    </row>
    <row r="10" spans="2:18" ht="13.2" x14ac:dyDescent="0.2">
      <c r="C10" s="42"/>
      <c r="D10" s="42" t="s">
        <v>243</v>
      </c>
      <c r="E10" s="42"/>
      <c r="F10" s="42"/>
      <c r="G10" s="42"/>
      <c r="H10" s="42"/>
      <c r="I10" s="42"/>
      <c r="J10" s="42" t="s">
        <v>243</v>
      </c>
      <c r="K10" s="42"/>
      <c r="L10" s="42"/>
      <c r="M10" s="42"/>
      <c r="N10" s="42"/>
      <c r="O10" s="42"/>
      <c r="P10" s="42" t="s">
        <v>243</v>
      </c>
      <c r="Q10" s="42"/>
    </row>
    <row r="11" spans="2:18" ht="33.75" customHeight="1" x14ac:dyDescent="0.2">
      <c r="C11" s="43">
        <v>9</v>
      </c>
      <c r="D11" s="45">
        <v>5</v>
      </c>
      <c r="E11" s="43">
        <v>7</v>
      </c>
      <c r="I11" s="43">
        <v>1</v>
      </c>
      <c r="J11" s="43">
        <v>6</v>
      </c>
      <c r="K11" s="43">
        <v>8</v>
      </c>
      <c r="O11" s="43">
        <v>2</v>
      </c>
      <c r="P11" s="43">
        <v>7</v>
      </c>
      <c r="Q11" s="43">
        <v>9</v>
      </c>
    </row>
    <row r="12" spans="2:18" ht="33.75" customHeight="1" x14ac:dyDescent="0.2">
      <c r="B12" t="s">
        <v>244</v>
      </c>
      <c r="C12" s="43">
        <v>8</v>
      </c>
      <c r="D12" s="43">
        <v>1</v>
      </c>
      <c r="E12" s="43">
        <v>3</v>
      </c>
      <c r="F12" t="s">
        <v>245</v>
      </c>
      <c r="H12" t="s">
        <v>244</v>
      </c>
      <c r="I12" s="43">
        <v>9</v>
      </c>
      <c r="J12" s="43">
        <v>2</v>
      </c>
      <c r="K12" s="43">
        <v>4</v>
      </c>
      <c r="L12" t="s">
        <v>245</v>
      </c>
      <c r="N12" t="s">
        <v>244</v>
      </c>
      <c r="O12" s="43">
        <v>1</v>
      </c>
      <c r="P12" s="43">
        <v>3</v>
      </c>
      <c r="Q12" s="43">
        <v>5</v>
      </c>
      <c r="R12" t="s">
        <v>242</v>
      </c>
    </row>
    <row r="13" spans="2:18" ht="33.75" customHeight="1" x14ac:dyDescent="0.2">
      <c r="C13" s="43">
        <v>4</v>
      </c>
      <c r="D13" s="43">
        <v>6</v>
      </c>
      <c r="E13" s="43">
        <v>2</v>
      </c>
      <c r="I13" s="43">
        <v>5</v>
      </c>
      <c r="J13" s="43">
        <v>7</v>
      </c>
      <c r="K13" s="43">
        <v>3</v>
      </c>
      <c r="O13" s="43">
        <v>6</v>
      </c>
      <c r="P13" s="43">
        <v>8</v>
      </c>
      <c r="Q13" s="43">
        <v>4</v>
      </c>
    </row>
    <row r="14" spans="2:18" ht="13.5" customHeight="1" x14ac:dyDescent="0.2">
      <c r="C14" s="42"/>
      <c r="D14" s="42" t="s">
        <v>242</v>
      </c>
      <c r="E14" s="42"/>
      <c r="F14" s="42"/>
      <c r="G14" s="42"/>
      <c r="H14" s="42"/>
      <c r="I14" s="42"/>
      <c r="J14" s="42" t="s">
        <v>242</v>
      </c>
      <c r="K14" s="42"/>
      <c r="L14" s="42"/>
      <c r="M14" s="42"/>
      <c r="N14" s="42"/>
      <c r="O14" s="42"/>
      <c r="P14" s="42" t="s">
        <v>242</v>
      </c>
      <c r="Q14" s="42"/>
    </row>
    <row r="15" spans="2:18" ht="13.5" customHeight="1" x14ac:dyDescent="0.2"/>
    <row r="16" spans="2:18" ht="13.5" customHeight="1" x14ac:dyDescent="0.2">
      <c r="C16" s="51" t="s">
        <v>246</v>
      </c>
      <c r="D16" s="51"/>
      <c r="E16" s="51"/>
      <c r="I16" s="51" t="s">
        <v>186</v>
      </c>
      <c r="J16" s="51"/>
      <c r="K16" s="51"/>
      <c r="O16" s="51" t="s">
        <v>188</v>
      </c>
      <c r="P16" s="51"/>
      <c r="Q16" s="51"/>
    </row>
    <row r="17" spans="2:18" ht="13.5" customHeight="1" x14ac:dyDescent="0.2">
      <c r="C17" s="42"/>
      <c r="D17" s="42" t="s">
        <v>243</v>
      </c>
      <c r="E17" s="42"/>
      <c r="F17" s="42"/>
      <c r="G17" s="42"/>
      <c r="H17" s="42"/>
      <c r="I17" s="42"/>
      <c r="J17" s="42" t="s">
        <v>243</v>
      </c>
      <c r="K17" s="42"/>
      <c r="L17" s="42"/>
      <c r="M17" s="42"/>
      <c r="N17" s="42"/>
      <c r="O17" s="42"/>
      <c r="P17" s="42" t="s">
        <v>243</v>
      </c>
      <c r="Q17" s="42"/>
    </row>
    <row r="18" spans="2:18" ht="33.75" customHeight="1" x14ac:dyDescent="0.2">
      <c r="C18" s="43">
        <v>3</v>
      </c>
      <c r="D18" s="43">
        <v>8</v>
      </c>
      <c r="E18" s="43">
        <v>1</v>
      </c>
      <c r="I18" s="43">
        <v>4</v>
      </c>
      <c r="J18" s="43">
        <v>9</v>
      </c>
      <c r="K18" s="43">
        <v>2</v>
      </c>
      <c r="O18" s="43">
        <v>5</v>
      </c>
      <c r="P18" s="43">
        <v>1</v>
      </c>
      <c r="Q18" s="43">
        <v>3</v>
      </c>
    </row>
    <row r="19" spans="2:18" ht="33.75" customHeight="1" x14ac:dyDescent="0.2">
      <c r="B19" t="s">
        <v>244</v>
      </c>
      <c r="C19" s="43">
        <v>2</v>
      </c>
      <c r="D19" s="43">
        <v>4</v>
      </c>
      <c r="E19" s="43">
        <v>6</v>
      </c>
      <c r="F19" t="s">
        <v>245</v>
      </c>
      <c r="H19" t="s">
        <v>244</v>
      </c>
      <c r="I19" s="43">
        <v>3</v>
      </c>
      <c r="J19" s="43">
        <v>5</v>
      </c>
      <c r="K19" s="43">
        <v>7</v>
      </c>
      <c r="L19" t="s">
        <v>245</v>
      </c>
      <c r="N19" t="s">
        <v>244</v>
      </c>
      <c r="O19" s="43">
        <v>4</v>
      </c>
      <c r="P19" s="43">
        <v>6</v>
      </c>
      <c r="Q19" s="43">
        <v>4</v>
      </c>
      <c r="R19" t="s">
        <v>245</v>
      </c>
    </row>
    <row r="20" spans="2:18" ht="33.75" customHeight="1" x14ac:dyDescent="0.2">
      <c r="C20" s="43">
        <v>7</v>
      </c>
      <c r="D20" s="43">
        <v>9</v>
      </c>
      <c r="E20" s="43">
        <v>5</v>
      </c>
      <c r="I20" s="43">
        <v>8</v>
      </c>
      <c r="J20" s="43">
        <v>1</v>
      </c>
      <c r="K20" s="43">
        <v>6</v>
      </c>
      <c r="O20" s="43">
        <v>9</v>
      </c>
      <c r="P20" s="43">
        <v>2</v>
      </c>
      <c r="Q20" s="43">
        <v>7</v>
      </c>
    </row>
    <row r="21" spans="2:18" ht="13.5" customHeight="1" x14ac:dyDescent="0.2">
      <c r="C21" s="42"/>
      <c r="D21" s="42" t="s">
        <v>242</v>
      </c>
      <c r="E21" s="42"/>
      <c r="F21" s="42"/>
      <c r="G21" s="42"/>
      <c r="H21" s="42"/>
      <c r="I21" s="42"/>
      <c r="J21" s="42" t="s">
        <v>242</v>
      </c>
      <c r="K21" s="42"/>
      <c r="L21" s="42"/>
      <c r="M21" s="42"/>
      <c r="N21" s="42"/>
      <c r="O21" s="42"/>
      <c r="P21" s="42" t="s">
        <v>242</v>
      </c>
      <c r="Q21" s="42"/>
    </row>
    <row r="22" spans="2:18" ht="13.5" customHeight="1" x14ac:dyDescent="0.2"/>
    <row r="23" spans="2:18" ht="13.5" customHeight="1" x14ac:dyDescent="0.2">
      <c r="C23" s="51" t="s">
        <v>247</v>
      </c>
      <c r="D23" s="51"/>
      <c r="E23" s="51"/>
      <c r="I23" s="51" t="s">
        <v>192</v>
      </c>
      <c r="J23" s="51"/>
      <c r="K23" s="51"/>
      <c r="O23" s="51" t="s">
        <v>248</v>
      </c>
      <c r="P23" s="51"/>
      <c r="Q23" s="51"/>
    </row>
    <row r="24" spans="2:18" ht="13.5" customHeight="1" x14ac:dyDescent="0.2">
      <c r="C24" s="42"/>
      <c r="D24" s="42" t="s">
        <v>243</v>
      </c>
      <c r="E24" s="42"/>
      <c r="F24" s="42"/>
      <c r="G24" s="42"/>
      <c r="H24" s="42"/>
      <c r="I24" s="42"/>
      <c r="J24" s="42" t="s">
        <v>243</v>
      </c>
      <c r="K24" s="42"/>
      <c r="L24" s="42"/>
      <c r="M24" s="42"/>
      <c r="N24" s="42"/>
      <c r="O24" s="42"/>
      <c r="P24" s="42" t="s">
        <v>243</v>
      </c>
      <c r="Q24" s="42"/>
    </row>
    <row r="25" spans="2:18" ht="33.75" customHeight="1" x14ac:dyDescent="0.2">
      <c r="C25" s="43">
        <v>6</v>
      </c>
      <c r="D25" s="43">
        <v>2</v>
      </c>
      <c r="E25" s="43">
        <v>4</v>
      </c>
      <c r="I25" s="43">
        <v>7</v>
      </c>
      <c r="J25" s="43">
        <v>3</v>
      </c>
      <c r="K25" s="43">
        <v>5</v>
      </c>
      <c r="O25" s="43">
        <v>8</v>
      </c>
      <c r="P25" s="43">
        <v>4</v>
      </c>
      <c r="Q25" s="43">
        <v>6</v>
      </c>
    </row>
    <row r="26" spans="2:18" ht="33.75" customHeight="1" x14ac:dyDescent="0.2">
      <c r="B26" t="s">
        <v>244</v>
      </c>
      <c r="C26" s="43">
        <v>5</v>
      </c>
      <c r="D26" s="43">
        <v>7</v>
      </c>
      <c r="E26" s="43">
        <v>9</v>
      </c>
      <c r="F26" t="s">
        <v>245</v>
      </c>
      <c r="H26" t="s">
        <v>244</v>
      </c>
      <c r="I26" s="43">
        <v>6</v>
      </c>
      <c r="J26" s="43">
        <v>8</v>
      </c>
      <c r="K26" s="43">
        <v>1</v>
      </c>
      <c r="L26" t="s">
        <v>245</v>
      </c>
      <c r="N26" t="s">
        <v>244</v>
      </c>
      <c r="O26" s="43">
        <v>7</v>
      </c>
      <c r="P26" s="43">
        <v>9</v>
      </c>
      <c r="Q26" s="43">
        <v>2</v>
      </c>
      <c r="R26" t="s">
        <v>245</v>
      </c>
    </row>
    <row r="27" spans="2:18" ht="33.75" customHeight="1" x14ac:dyDescent="0.2">
      <c r="C27" s="43">
        <v>1</v>
      </c>
      <c r="D27" s="43">
        <v>3</v>
      </c>
      <c r="E27" s="43">
        <v>8</v>
      </c>
      <c r="I27" s="43">
        <v>2</v>
      </c>
      <c r="J27" s="43">
        <v>4</v>
      </c>
      <c r="K27" s="43">
        <v>9</v>
      </c>
      <c r="O27" s="43">
        <v>3</v>
      </c>
      <c r="P27" s="43">
        <v>5</v>
      </c>
      <c r="Q27" s="43">
        <v>1</v>
      </c>
    </row>
    <row r="28" spans="2:18" ht="33.75" customHeight="1" x14ac:dyDescent="0.2">
      <c r="C28" s="42"/>
      <c r="D28" s="42" t="s">
        <v>242</v>
      </c>
      <c r="E28" s="42"/>
      <c r="F28" s="42"/>
      <c r="G28" s="42"/>
      <c r="H28" s="42"/>
      <c r="I28" s="42"/>
      <c r="J28" s="42" t="s">
        <v>242</v>
      </c>
      <c r="K28" s="42"/>
      <c r="L28" s="42"/>
      <c r="M28" s="42"/>
      <c r="N28" s="42"/>
      <c r="O28" s="42"/>
      <c r="P28" s="42" t="s">
        <v>242</v>
      </c>
      <c r="Q28" s="42"/>
    </row>
  </sheetData>
  <mergeCells count="10">
    <mergeCell ref="C23:E23"/>
    <mergeCell ref="I23:K23"/>
    <mergeCell ref="O23:Q23"/>
    <mergeCell ref="C2:E2"/>
    <mergeCell ref="C9:E9"/>
    <mergeCell ref="I9:K9"/>
    <mergeCell ref="O9:Q9"/>
    <mergeCell ref="C16:E16"/>
    <mergeCell ref="I16:K16"/>
    <mergeCell ref="O16:Q16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4"/>
  <sheetViews>
    <sheetView zoomScaleNormal="100" workbookViewId="0">
      <selection activeCell="K22" sqref="K22"/>
    </sheetView>
  </sheetViews>
  <sheetFormatPr defaultRowHeight="13.2" x14ac:dyDescent="0.2"/>
  <cols>
    <col min="1" max="1" width="11.6640625" bestFit="1" customWidth="1"/>
    <col min="2" max="2" width="5.44140625" bestFit="1" customWidth="1"/>
    <col min="3" max="4" width="3.44140625" bestFit="1" customWidth="1"/>
    <col min="5" max="5" width="5.44140625" customWidth="1"/>
    <col min="6" max="6" width="3.44140625" bestFit="1" customWidth="1"/>
    <col min="7" max="7" width="13.33203125" customWidth="1"/>
    <col min="8" max="9" width="4.44140625" bestFit="1" customWidth="1"/>
    <col min="10" max="10" width="2.44140625" bestFit="1" customWidth="1"/>
    <col min="11" max="11" width="9" bestFit="1" customWidth="1"/>
    <col min="12" max="12" width="11.6640625" bestFit="1" customWidth="1"/>
    <col min="13" max="13" width="3.44140625" bestFit="1" customWidth="1"/>
    <col min="14" max="14" width="2.44140625" bestFit="1" customWidth="1"/>
    <col min="15" max="15" width="9" bestFit="1" customWidth="1"/>
    <col min="18" max="18" width="11.6640625" bestFit="1" customWidth="1"/>
  </cols>
  <sheetData>
    <row r="1" spans="1:17" x14ac:dyDescent="0.2">
      <c r="A1" s="1">
        <v>42379</v>
      </c>
      <c r="B1" s="36"/>
      <c r="C1" s="36"/>
      <c r="L1" s="2"/>
      <c r="M1" s="2"/>
    </row>
    <row r="2" spans="1:17" x14ac:dyDescent="0.2">
      <c r="A2" s="1" t="s">
        <v>237</v>
      </c>
      <c r="B2" s="1" t="s">
        <v>28</v>
      </c>
      <c r="C2" s="1" t="s">
        <v>0</v>
      </c>
      <c r="D2" t="s">
        <v>2</v>
      </c>
      <c r="E2" s="1" t="s">
        <v>259</v>
      </c>
      <c r="F2" s="1" t="s">
        <v>260</v>
      </c>
      <c r="G2" s="46" t="s">
        <v>228</v>
      </c>
      <c r="J2" s="2"/>
      <c r="K2" s="2"/>
    </row>
    <row r="3" spans="1:17" x14ac:dyDescent="0.2">
      <c r="A3" s="1">
        <v>35632</v>
      </c>
      <c r="B3">
        <f t="shared" ref="B3:B15" si="0">YEAR(A3)</f>
        <v>1997</v>
      </c>
      <c r="C3">
        <f t="shared" ref="C3:C15" si="1">MONTH(A3)</f>
        <v>7</v>
      </c>
      <c r="D3">
        <f t="shared" ref="D3:D15" si="2">DAY(A3)</f>
        <v>21</v>
      </c>
      <c r="E3">
        <f>IF(C3&lt;3,1,0)</f>
        <v>0</v>
      </c>
      <c r="F3">
        <f>IF(C3&lt;3,12,0)</f>
        <v>0</v>
      </c>
      <c r="G3">
        <f t="shared" ref="G3:G15" si="3">INT(365.25*(B3-E3))+INT((B3-E3)/400)-INT((B3-E3)/100)+INT(30.59*((C3+F3)-2))+D3-678912</f>
        <v>50650</v>
      </c>
      <c r="H3">
        <v>70</v>
      </c>
      <c r="I3">
        <f t="shared" ref="I3:I15" si="4">IF(MOD($G3-H3,360)&gt;179,((MOD($G3-H3,360))-((MOD($G3-H3,360))-179)-(((MOD($G3-H3,360))-179)-1)),MOD($G3-H3,360))</f>
        <v>179</v>
      </c>
      <c r="J3">
        <f t="shared" ref="J3:J15" si="5">MOD(I3,9)</f>
        <v>8</v>
      </c>
      <c r="K3" t="str">
        <f>VLOOKUP(J3,日九星!$I$14:$J$22,2,FALSE)</f>
        <v>九紫火星</v>
      </c>
      <c r="L3" s="1"/>
      <c r="P3" s="2"/>
      <c r="Q3" s="2"/>
    </row>
    <row r="4" spans="1:17" x14ac:dyDescent="0.2">
      <c r="A4" s="1">
        <v>39772</v>
      </c>
      <c r="B4">
        <f t="shared" si="0"/>
        <v>2008</v>
      </c>
      <c r="C4">
        <f t="shared" si="1"/>
        <v>11</v>
      </c>
      <c r="D4">
        <f t="shared" si="2"/>
        <v>20</v>
      </c>
      <c r="E4">
        <f>IF(C4&lt;3,1,0)</f>
        <v>0</v>
      </c>
      <c r="F4">
        <f>IF(C4&lt;3,12,0)</f>
        <v>0</v>
      </c>
      <c r="G4">
        <f t="shared" si="3"/>
        <v>54790</v>
      </c>
      <c r="H4">
        <v>106</v>
      </c>
      <c r="I4">
        <f t="shared" si="4"/>
        <v>35</v>
      </c>
      <c r="J4">
        <f t="shared" si="5"/>
        <v>8</v>
      </c>
      <c r="K4" t="str">
        <f>VLOOKUP(J4,日九星!$I$14:$J$22,2,FALSE)</f>
        <v>九紫火星</v>
      </c>
      <c r="L4" s="31"/>
      <c r="M4" s="2"/>
      <c r="N4" s="2"/>
    </row>
    <row r="5" spans="1:17" x14ac:dyDescent="0.2">
      <c r="A5" s="1">
        <v>39802</v>
      </c>
      <c r="B5">
        <f t="shared" si="0"/>
        <v>2008</v>
      </c>
      <c r="C5">
        <f t="shared" si="1"/>
        <v>12</v>
      </c>
      <c r="D5">
        <f t="shared" si="2"/>
        <v>20</v>
      </c>
      <c r="E5">
        <f t="shared" ref="E5:E15" si="6">IF(C5&lt;3,1,0)</f>
        <v>0</v>
      </c>
      <c r="F5">
        <f t="shared" ref="F5:F15" si="7">IF(C5&lt;3,12,0)</f>
        <v>0</v>
      </c>
      <c r="G5">
        <f t="shared" si="3"/>
        <v>54820</v>
      </c>
      <c r="H5">
        <v>94</v>
      </c>
      <c r="I5">
        <f t="shared" si="4"/>
        <v>6</v>
      </c>
      <c r="J5">
        <f t="shared" si="5"/>
        <v>6</v>
      </c>
      <c r="K5" t="str">
        <f>VLOOKUP(J5,日九星!$I$14:$J$22,2,FALSE)</f>
        <v>七赤金星</v>
      </c>
      <c r="L5" s="1"/>
      <c r="M5" s="2"/>
    </row>
    <row r="6" spans="1:17" x14ac:dyDescent="0.2">
      <c r="A6" s="1">
        <v>39832</v>
      </c>
      <c r="B6">
        <f t="shared" si="0"/>
        <v>2009</v>
      </c>
      <c r="C6">
        <f t="shared" si="1"/>
        <v>1</v>
      </c>
      <c r="D6">
        <f t="shared" si="2"/>
        <v>19</v>
      </c>
      <c r="E6">
        <f t="shared" si="6"/>
        <v>1</v>
      </c>
      <c r="F6">
        <f t="shared" si="7"/>
        <v>12</v>
      </c>
      <c r="G6">
        <f t="shared" si="3"/>
        <v>54850</v>
      </c>
      <c r="H6">
        <v>130</v>
      </c>
      <c r="I6">
        <f t="shared" si="4"/>
        <v>0</v>
      </c>
      <c r="J6">
        <f t="shared" si="5"/>
        <v>0</v>
      </c>
      <c r="K6" t="str">
        <f>VLOOKUP(J6,日九星!$I$14:$J$22,2,FALSE)</f>
        <v>一白水星</v>
      </c>
      <c r="L6" s="1"/>
      <c r="M6" s="2"/>
    </row>
    <row r="7" spans="1:17" x14ac:dyDescent="0.2">
      <c r="A7" s="1">
        <v>43972</v>
      </c>
      <c r="B7">
        <f t="shared" si="0"/>
        <v>2020</v>
      </c>
      <c r="C7">
        <f t="shared" si="1"/>
        <v>5</v>
      </c>
      <c r="D7">
        <f t="shared" si="2"/>
        <v>21</v>
      </c>
      <c r="E7">
        <f t="shared" si="6"/>
        <v>0</v>
      </c>
      <c r="F7">
        <f t="shared" si="7"/>
        <v>0</v>
      </c>
      <c r="G7">
        <f t="shared" si="3"/>
        <v>58990</v>
      </c>
      <c r="H7">
        <v>310</v>
      </c>
      <c r="I7">
        <f t="shared" si="4"/>
        <v>0</v>
      </c>
      <c r="J7">
        <f t="shared" si="5"/>
        <v>0</v>
      </c>
      <c r="K7" t="str">
        <f>VLOOKUP(J7,日九星!$I$14:$J$22,2,FALSE)</f>
        <v>一白水星</v>
      </c>
      <c r="L7" s="1"/>
      <c r="M7" s="2"/>
    </row>
    <row r="8" spans="1:17" x14ac:dyDescent="0.2">
      <c r="A8" s="1">
        <v>44002</v>
      </c>
      <c r="B8">
        <f t="shared" si="0"/>
        <v>2020</v>
      </c>
      <c r="C8">
        <f t="shared" si="1"/>
        <v>6</v>
      </c>
      <c r="D8">
        <f t="shared" si="2"/>
        <v>20</v>
      </c>
      <c r="E8">
        <f t="shared" si="6"/>
        <v>0</v>
      </c>
      <c r="F8">
        <f t="shared" si="7"/>
        <v>0</v>
      </c>
      <c r="G8">
        <f t="shared" si="3"/>
        <v>59020</v>
      </c>
      <c r="H8">
        <v>10</v>
      </c>
      <c r="I8">
        <f t="shared" si="4"/>
        <v>29</v>
      </c>
      <c r="J8">
        <f t="shared" si="5"/>
        <v>2</v>
      </c>
      <c r="K8" t="str">
        <f>VLOOKUP(J8,日九星!$I$14:$J$22,2,FALSE)</f>
        <v>三碧木星</v>
      </c>
    </row>
    <row r="9" spans="1:17" x14ac:dyDescent="0.2">
      <c r="A9" s="1">
        <v>44032</v>
      </c>
      <c r="B9">
        <f t="shared" si="0"/>
        <v>2020</v>
      </c>
      <c r="C9">
        <f t="shared" si="1"/>
        <v>7</v>
      </c>
      <c r="D9">
        <f t="shared" si="2"/>
        <v>20</v>
      </c>
      <c r="E9">
        <f t="shared" si="6"/>
        <v>0</v>
      </c>
      <c r="F9">
        <f t="shared" si="7"/>
        <v>0</v>
      </c>
      <c r="G9">
        <f t="shared" si="3"/>
        <v>59050</v>
      </c>
      <c r="H9">
        <v>190</v>
      </c>
      <c r="I9">
        <f t="shared" si="4"/>
        <v>179</v>
      </c>
      <c r="J9">
        <f t="shared" si="5"/>
        <v>8</v>
      </c>
      <c r="K9" t="str">
        <f>VLOOKUP(J9,日九星!$I$14:$J$22,2,FALSE)</f>
        <v>九紫火星</v>
      </c>
    </row>
    <row r="10" spans="1:17" x14ac:dyDescent="0.2">
      <c r="A10" s="30">
        <v>48172</v>
      </c>
      <c r="B10">
        <f t="shared" si="0"/>
        <v>2031</v>
      </c>
      <c r="C10">
        <f t="shared" si="1"/>
        <v>11</v>
      </c>
      <c r="D10">
        <f t="shared" si="2"/>
        <v>20</v>
      </c>
      <c r="E10">
        <f t="shared" si="6"/>
        <v>0</v>
      </c>
      <c r="F10">
        <f t="shared" si="7"/>
        <v>0</v>
      </c>
      <c r="G10">
        <f t="shared" si="3"/>
        <v>63190</v>
      </c>
      <c r="H10">
        <v>226</v>
      </c>
      <c r="I10">
        <f t="shared" si="4"/>
        <v>35</v>
      </c>
      <c r="J10">
        <f t="shared" si="5"/>
        <v>8</v>
      </c>
      <c r="K10" t="str">
        <f>VLOOKUP(J10,日九星!$I$14:$J$22,2,FALSE)</f>
        <v>九紫火星</v>
      </c>
    </row>
    <row r="11" spans="1:17" x14ac:dyDescent="0.2">
      <c r="A11" s="1">
        <v>48202</v>
      </c>
      <c r="B11">
        <f t="shared" si="0"/>
        <v>2031</v>
      </c>
      <c r="C11">
        <f t="shared" si="1"/>
        <v>12</v>
      </c>
      <c r="D11">
        <f t="shared" si="2"/>
        <v>20</v>
      </c>
      <c r="E11">
        <f t="shared" si="6"/>
        <v>0</v>
      </c>
      <c r="F11">
        <f t="shared" si="7"/>
        <v>0</v>
      </c>
      <c r="G11">
        <f t="shared" si="3"/>
        <v>63220</v>
      </c>
      <c r="H11">
        <v>214</v>
      </c>
      <c r="I11">
        <f t="shared" si="4"/>
        <v>6</v>
      </c>
      <c r="J11">
        <f t="shared" si="5"/>
        <v>6</v>
      </c>
      <c r="K11" t="str">
        <f>VLOOKUP(J11,日九星!$I$14:$J$22,2,FALSE)</f>
        <v>七赤金星</v>
      </c>
    </row>
    <row r="12" spans="1:17" x14ac:dyDescent="0.2">
      <c r="A12" s="1">
        <v>48232</v>
      </c>
      <c r="B12">
        <f t="shared" si="0"/>
        <v>2032</v>
      </c>
      <c r="C12">
        <f t="shared" si="1"/>
        <v>1</v>
      </c>
      <c r="D12">
        <f t="shared" si="2"/>
        <v>19</v>
      </c>
      <c r="E12">
        <f t="shared" si="6"/>
        <v>1</v>
      </c>
      <c r="F12">
        <f t="shared" si="7"/>
        <v>12</v>
      </c>
      <c r="G12">
        <f t="shared" si="3"/>
        <v>63250</v>
      </c>
      <c r="H12">
        <v>250</v>
      </c>
      <c r="I12">
        <f t="shared" si="4"/>
        <v>0</v>
      </c>
      <c r="J12">
        <f t="shared" si="5"/>
        <v>0</v>
      </c>
      <c r="K12" t="str">
        <f>VLOOKUP(J12,日九星!$I$14:$J$22,2,FALSE)</f>
        <v>一白水星</v>
      </c>
    </row>
    <row r="13" spans="1:17" x14ac:dyDescent="0.2">
      <c r="A13" s="1">
        <v>52192</v>
      </c>
      <c r="B13">
        <f t="shared" si="0"/>
        <v>2042</v>
      </c>
      <c r="C13">
        <f t="shared" si="1"/>
        <v>11</v>
      </c>
      <c r="D13">
        <f t="shared" si="2"/>
        <v>22</v>
      </c>
      <c r="E13">
        <f t="shared" si="6"/>
        <v>0</v>
      </c>
      <c r="F13">
        <f t="shared" si="7"/>
        <v>0</v>
      </c>
      <c r="G13">
        <f t="shared" si="3"/>
        <v>67210</v>
      </c>
      <c r="H13">
        <v>286</v>
      </c>
      <c r="I13">
        <f t="shared" si="4"/>
        <v>35</v>
      </c>
      <c r="J13">
        <f t="shared" si="5"/>
        <v>8</v>
      </c>
      <c r="K13" t="str">
        <f>VLOOKUP(J13,日九星!$I$14:$J$22,2,FALSE)</f>
        <v>九紫火星</v>
      </c>
    </row>
    <row r="14" spans="1:17" x14ac:dyDescent="0.2">
      <c r="A14" s="1">
        <v>52222</v>
      </c>
      <c r="B14">
        <f t="shared" si="0"/>
        <v>2042</v>
      </c>
      <c r="C14">
        <f t="shared" si="1"/>
        <v>12</v>
      </c>
      <c r="D14">
        <f t="shared" si="2"/>
        <v>22</v>
      </c>
      <c r="E14">
        <f t="shared" si="6"/>
        <v>0</v>
      </c>
      <c r="F14">
        <f t="shared" si="7"/>
        <v>0</v>
      </c>
      <c r="G14">
        <f t="shared" si="3"/>
        <v>67240</v>
      </c>
      <c r="H14">
        <v>274</v>
      </c>
      <c r="I14">
        <f t="shared" si="4"/>
        <v>6</v>
      </c>
      <c r="J14">
        <f t="shared" si="5"/>
        <v>6</v>
      </c>
      <c r="K14" t="str">
        <f>VLOOKUP(J14,日九星!$I$14:$J$22,2,FALSE)</f>
        <v>七赤金星</v>
      </c>
    </row>
    <row r="15" spans="1:17" x14ac:dyDescent="0.2">
      <c r="A15" s="1">
        <v>52252</v>
      </c>
      <c r="B15">
        <f t="shared" si="0"/>
        <v>2043</v>
      </c>
      <c r="C15">
        <f t="shared" si="1"/>
        <v>1</v>
      </c>
      <c r="D15">
        <f t="shared" si="2"/>
        <v>21</v>
      </c>
      <c r="E15">
        <f t="shared" si="6"/>
        <v>1</v>
      </c>
      <c r="F15">
        <f t="shared" si="7"/>
        <v>12</v>
      </c>
      <c r="G15">
        <f t="shared" si="3"/>
        <v>67270</v>
      </c>
      <c r="H15">
        <v>310</v>
      </c>
      <c r="I15">
        <f t="shared" si="4"/>
        <v>0</v>
      </c>
      <c r="J15">
        <f t="shared" si="5"/>
        <v>0</v>
      </c>
      <c r="K15" t="str">
        <f>VLOOKUP(J15,日九星!$I$14:$J$22,2,FALSE)</f>
        <v>一白水星</v>
      </c>
    </row>
    <row r="17" spans="1:11" x14ac:dyDescent="0.2">
      <c r="A17" s="1">
        <f>A1</f>
        <v>42379</v>
      </c>
      <c r="B17">
        <f>YEAR(A17)</f>
        <v>2016</v>
      </c>
      <c r="C17">
        <f>MONTH(A17)</f>
        <v>1</v>
      </c>
      <c r="D17">
        <f>DAY(A17)</f>
        <v>10</v>
      </c>
      <c r="E17">
        <f t="shared" ref="E17" si="8">IF(C17&lt;3,1,0)</f>
        <v>1</v>
      </c>
      <c r="F17">
        <f t="shared" ref="F17" si="9">IF(C17&lt;3,12,0)</f>
        <v>12</v>
      </c>
      <c r="G17">
        <f t="shared" ref="G17" si="10">INT(365.25*(B17-E17))+INT((B17-E17)/400)-INT((B17-E17)/100)+INT(30.59*((C17+F17)-2))+D17-678912</f>
        <v>57397</v>
      </c>
      <c r="H17">
        <f>IF(A17&lt;A4,H3,IF(A17&lt;A5,H4,IF(A17&lt;A6,H5,IF(A17&lt;A7,H6,IF(A17&lt;A8,H7,IF(A17&lt;A9,H8,IF(A17&lt;A10,H9,IF(A17&lt;A11,H10,IF(A17&lt;A12,H11,IF(A17&lt;A13,H12,IF(A17&lt;A14,H13,IF(A17&lt;A15,H14,H15))))))))))))</f>
        <v>130</v>
      </c>
      <c r="I17">
        <f>IF(MOD($G17-H17,360)&gt;179,((MOD(G17-H17,360))-((MOD(G17-H17,360))-179)-(((MOD(G17-H17,360))-179)-1)),MOD(G17-H17,360))</f>
        <v>27</v>
      </c>
      <c r="J17">
        <f>MOD(I17,9)</f>
        <v>0</v>
      </c>
      <c r="K17" t="str">
        <f>VLOOKUP(J17,日九星!$I$14:$J$22,2,FALSE)</f>
        <v>一白水星</v>
      </c>
    </row>
    <row r="20" spans="1:11" x14ac:dyDescent="0.2">
      <c r="G20">
        <f>MOD(G17-130,360)</f>
        <v>27</v>
      </c>
    </row>
    <row r="21" spans="1:11" x14ac:dyDescent="0.2">
      <c r="A21" s="1"/>
    </row>
    <row r="22" spans="1:11" x14ac:dyDescent="0.2">
      <c r="A22" s="1"/>
    </row>
    <row r="23" spans="1:11" x14ac:dyDescent="0.2">
      <c r="G23">
        <v>2400000.5</v>
      </c>
    </row>
    <row r="24" spans="1:11" x14ac:dyDescent="0.2">
      <c r="G24">
        <f>G17+G23</f>
        <v>2457397.5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TOP</vt:lpstr>
      <vt:lpstr>九星</vt:lpstr>
      <vt:lpstr>日九星</vt:lpstr>
      <vt:lpstr>二十四節気</vt:lpstr>
      <vt:lpstr>干支</vt:lpstr>
      <vt:lpstr>Sheet1</vt:lpstr>
      <vt:lpstr>日九星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kateo</dc:creator>
  <cp:lastModifiedBy>KATEO</cp:lastModifiedBy>
  <cp:lastPrinted>2016-01-19T22:14:09Z</cp:lastPrinted>
  <dcterms:created xsi:type="dcterms:W3CDTF">2016-01-08T08:03:15Z</dcterms:created>
  <dcterms:modified xsi:type="dcterms:W3CDTF">2019-09-19T09:09:04Z</dcterms:modified>
</cp:coreProperties>
</file>